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Ihs57pyoGkTsGZ3iJa65dx1fw45bp2CQ9fC+R3Okh+04SNQygFK+TMGbt3cRS5yDo6+ymexP6hOTeN/+DxGUZA==" workbookSaltValue="/9v8BvHO0ZXr//N8pJftz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Q32" i="20"/>
  <c r="AE32" i="20"/>
  <c r="AZ32" i="20"/>
  <c r="W32" i="20"/>
  <c r="AJ32" i="20"/>
  <c r="G30" i="14"/>
  <c r="G23" i="14"/>
  <c r="U18" i="11"/>
  <c r="AX32" i="20"/>
  <c r="Y32" i="20"/>
  <c r="L32" i="20"/>
  <c r="AG32" i="20"/>
  <c r="H32" i="20"/>
  <c r="T32" i="21"/>
  <c r="F32" i="20"/>
  <c r="AF32" i="20"/>
  <c r="G26" i="14"/>
  <c r="S32" i="20"/>
  <c r="K32" i="20"/>
  <c r="AQ32" i="21"/>
  <c r="O17" i="11"/>
  <c r="J32" i="20"/>
  <c r="AK32" i="20"/>
  <c r="U12" i="11"/>
  <c r="AU32" i="20"/>
  <c r="G14" i="14"/>
  <c r="O18" i="11"/>
  <c r="R32" i="20"/>
  <c r="F25" i="2" l="1"/>
  <c r="BF16" i="8"/>
  <c r="F16" i="11"/>
  <c r="AQ16" i="11" s="1"/>
  <c r="R8" i="9"/>
  <c r="V29" i="11" s="1"/>
  <c r="R13" i="17"/>
  <c r="P13" i="14"/>
  <c r="BG17" i="13"/>
  <c r="BH11" i="16"/>
  <c r="V22" i="11"/>
  <c r="BJ28" i="11"/>
  <c r="BU21" i="17"/>
  <c r="X21" i="16"/>
  <c r="S16" i="16"/>
  <c r="BK17" i="11"/>
  <c r="BH25" i="11"/>
  <c r="L28" i="2"/>
  <c r="S20" i="14"/>
  <c r="V20" i="14" s="1"/>
  <c r="P18" i="17"/>
  <c r="BK19" i="11"/>
  <c r="BF22" i="11"/>
  <c r="BM13" i="11"/>
  <c r="BL11" i="11"/>
  <c r="BL21" i="11"/>
  <c r="T18" i="16"/>
  <c r="BG21" i="11"/>
  <c r="BV28" i="16"/>
  <c r="BW13" i="20"/>
  <c r="BU29" i="17"/>
  <c r="BW11" i="20"/>
  <c r="BW28" i="20"/>
  <c r="S11" i="17"/>
  <c r="S25" i="17"/>
  <c r="P16" i="17"/>
  <c r="BH25" i="16"/>
  <c r="BJ10" i="11"/>
  <c r="BF16" i="11"/>
  <c r="BI22" i="11"/>
  <c r="L10" i="2"/>
  <c r="L16" i="2"/>
  <c r="X16" i="16"/>
  <c r="X23" i="16" s="1"/>
  <c r="V25" i="16"/>
  <c r="BH19" i="16"/>
  <c r="BH19" i="11"/>
  <c r="BK16" i="11"/>
  <c r="BH9" i="11"/>
  <c r="BJ12" i="11"/>
  <c r="BH28" i="16"/>
  <c r="AZ21" i="11"/>
  <c r="BU28" i="17"/>
  <c r="BW9" i="20"/>
  <c r="BV17" i="16"/>
  <c r="BV25" i="16"/>
  <c r="BU9" i="17"/>
  <c r="BU19" i="17"/>
  <c r="BW10" i="20"/>
  <c r="BV22" i="16"/>
  <c r="S22" i="17"/>
  <c r="BF20" i="11"/>
  <c r="BL20" i="11"/>
  <c r="BL16" i="11"/>
  <c r="AZ25" i="11"/>
  <c r="AZ30" i="11" s="1"/>
  <c r="BM18" i="11"/>
  <c r="AQ12" i="21"/>
  <c r="L17" i="2"/>
  <c r="AA11" i="16"/>
  <c r="S19" i="14"/>
  <c r="V19" i="14" s="1"/>
  <c r="AA18" i="16"/>
  <c r="X9" i="17"/>
  <c r="X11" i="17"/>
  <c r="T18" i="20"/>
  <c r="X18" i="20"/>
  <c r="X19" i="20"/>
  <c r="X20" i="20"/>
  <c r="AA12" i="21"/>
  <c r="V16" i="16"/>
  <c r="V19" i="16"/>
  <c r="T19" i="20"/>
  <c r="V16" i="20"/>
  <c r="V23" i="20" s="1"/>
  <c r="X25" i="16"/>
  <c r="X30" i="16" s="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X16" i="17"/>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I16" i="12" l="1"/>
  <c r="K9" i="12"/>
  <c r="BF23" i="13"/>
  <c r="AZ13" i="11"/>
  <c r="BJ29" i="11"/>
  <c r="V21" i="11"/>
  <c r="BK9" i="11"/>
  <c r="BM29" i="11"/>
  <c r="BK13" i="11"/>
  <c r="L9" i="2"/>
  <c r="L18" i="2"/>
  <c r="X21" i="20"/>
  <c r="BK10" i="11"/>
  <c r="BL22" i="11"/>
  <c r="Q16" i="17"/>
  <c r="BK20" i="11"/>
  <c r="BF12" i="11"/>
  <c r="AZ11" i="11"/>
  <c r="BV20" i="16"/>
  <c r="BU13" i="17"/>
  <c r="S21" i="17"/>
  <c r="BV11" i="16"/>
  <c r="BV21" i="16"/>
  <c r="BV13" i="16"/>
  <c r="BU25" i="17"/>
  <c r="AP18" i="20"/>
  <c r="BK18" i="11"/>
  <c r="R18" i="20"/>
  <c r="R23" i="20" s="1"/>
  <c r="BG9" i="11"/>
  <c r="BI16" i="11"/>
  <c r="BJ21" i="11"/>
  <c r="BJ23" i="11" s="1"/>
  <c r="BF29" i="11"/>
  <c r="BH16" i="11"/>
  <c r="T9" i="11"/>
  <c r="BI21" i="11"/>
  <c r="BH17" i="11"/>
  <c r="BH21" i="11"/>
  <c r="BU17" i="17"/>
  <c r="BW17" i="20"/>
  <c r="BU11" i="17"/>
  <c r="BM20"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<sst xmlns="http://schemas.openxmlformats.org/spreadsheetml/2006/main" count="2682" uniqueCount="1193">
  <si>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</si>
  <si>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</si>
  <si>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</si>
  <si>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</si>
  <si>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</si>
  <si>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</si>
  <si>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</si>
  <si>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</si>
  <si>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</si>
  <si>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</si>
  <si>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</si>
  <si>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</si>
  <si>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</si>
  <si>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</si>
  <si>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</si>
  <si>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</si>
  <si>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</si>
  <si>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</si>
  <si>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</si>
  <si>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</si>
  <si>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</si>
  <si>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</si>
  <si>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</si>
  <si>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</si>
  <si>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</si>
  <si>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</si>
  <si>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</si>
  <si>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</si>
  <si>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</si>
  <si>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</si>
  <si>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</si>
  <si>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</si>
  <si>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</si>
  <si>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</si>
  <si>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</si>
  <si>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</si>
  <si>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</si>
  <si>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</si>
  <si>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</si>
  <si>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</si>
  <si>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</si>
  <si>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</si>
  <si>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</si>
  <si>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</si>
  <si>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</si>
  <si>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</si>
  <si>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</si>
  <si>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</si>
  <si>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</si>
  <si>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</si>
  <si>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</si>
  <si>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</si>
  <si>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</si>
  <si>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</si>
  <si>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</si>
  <si>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</si>
  <si>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</si>
  <si>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</si>
  <si>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</si>
  <si>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</si>
  <si>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</si>
  <si>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</si>
  <si>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</si>
  <si>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</si>
  <si>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</si>
  <si>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</si>
  <si>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</si>
  <si>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</si>
  <si>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</si>
  <si>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</si>
  <si>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</si>
  <si>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</si>
  <si>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</si>
  <si>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</si>
  <si>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</si>
  <si>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</si>
  <si>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</si>
  <si>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</si>
  <si>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</si>
  <si>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</si>
  <si>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</si>
  <si>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</si>
  <si>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</si>
  <si>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</si>
  <si>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</si>
  <si>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</si>
  <si>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</si>
  <si>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</si>
  <si>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</si>
  <si>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</si>
  <si>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</si>
  <si>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</si>
  <si>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</si>
  <si>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</si>
  <si>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</si>
  <si>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</si>
  <si>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</si>
  <si>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</si>
  <si>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</si>
  <si>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</si>
  <si>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</si>
  <si>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</si>
  <si>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</si>
  <si>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</si>
  <si>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</si>
  <si>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</si>
  <si>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</si>
  <si>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</si>
  <si>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</si>
  <si>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</si>
  <si>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</si>
  <si>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</si>
  <si>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</si>
  <si>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</si>
  <si>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</si>
  <si>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</si>
  <si>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</si>
  <si>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</si>
  <si>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</si>
  <si>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</si>
  <si>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</si>
  <si>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</si>
  <si>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</si>
  <si>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</si>
  <si>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</si>
  <si>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</si>
  <si>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</si>
  <si>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</si>
  <si>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</si>
  <si>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</si>
  <si>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</si>
  <si>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</si>
  <si>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</si>
  <si>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</si>
  <si>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</si>
  <si>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</si>
  <si>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</si>
  <si>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</si>
  <si>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</si>
  <si>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</si>
  <si>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</si>
  <si>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</si>
  <si>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</si>
  <si>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</si>
  <si>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</si>
  <si>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</si>
  <si>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</si>
  <si>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</si>
  <si>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</si>
  <si>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</si>
  <si>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</si>
  <si>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</si>
  <si>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</si>
  <si>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</si>
  <si>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</si>
  <si>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</si>
  <si>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</si>
  <si>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</si>
  <si>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</si>
  <si>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</si>
  <si>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</si>
  <si>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</si>
  <si>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</si>
  <si>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</si>
  <si>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</si>
  <si>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</si>
  <si>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</si>
  <si>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</si>
  <si>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</si>
  <si>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</si>
  <si>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</si>
  <si>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</si>
  <si>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</si>
  <si>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</si>
  <si>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</si>
  <si>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</si>
  <si>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</si>
  <si>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</si>
  <si>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</si>
  <si>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</si>
  <si>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</si>
  <si>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</si>
  <si>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</si>
  <si>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</si>
  <si>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</si>
  <si>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</si>
  <si>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</si>
  <si>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</si>
  <si>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</si>
  <si>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</si>
  <si>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</si>
  <si>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</si>
  <si>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</si>
  <si>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</si>
  <si>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</si>
  <si>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</si>
  <si>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</si>
  <si>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</si>
  <si>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</si>
  <si>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</si>
  <si>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</si>
  <si>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</si>
  <si>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</si>
  <si>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</si>
  <si>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</si>
  <si>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</si>
  <si>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</si>
  <si>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</si>
  <si>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</si>
  <si>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</si>
  <si>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</si>
  <si>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</si>
  <si>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</si>
  <si>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</si>
  <si>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</si>
  <si>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</si>
  <si>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</si>
  <si>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</si>
  <si>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</si>
  <si>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</si>
  <si>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</si>
  <si>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</si>
  <si>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</si>
  <si>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</si>
  <si>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</si>
  <si>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</si>
  <si>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</si>
  <si>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</si>
  <si>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</si>
  <si>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</si>
  <si>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</si>
  <si>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</si>
  <si>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</si>
  <si>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</si>
  <si>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</si>
  <si>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</si>
  <si>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</si>
  <si>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</si>
  <si>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</si>
  <si>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</si>
  <si>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</si>
  <si>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</si>
  <si>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</si>
  <si>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</si>
  <si>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</si>
  <si>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</si>
  <si>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</si>
  <si>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</si>
  <si>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</si>
  <si>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</si>
  <si>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</si>
  <si>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</si>
  <si>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</si>
  <si>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</si>
  <si>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</si>
  <si>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</si>
  <si>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</si>
  <si>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</si>
  <si>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</si>
  <si>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</si>
  <si>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</si>
  <si>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</si>
  <si>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</si>
  <si>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</si>
  <si>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</si>
  <si>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</si>
  <si>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</si>
  <si>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</si>
  <si>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</si>
  <si>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</si>
  <si>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</si>
  <si>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</si>
  <si>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</si>
  <si>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</si>
  <si>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</si>
  <si>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</si>
  <si>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</si>
  <si>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</si>
  <si>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</si>
  <si>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</si>
  <si>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</si>
  <si>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</si>
  <si>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</si>
  <si>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</si>
  <si>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</si>
  <si>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</si>
  <si>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</si>
  <si>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</si>
  <si>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</si>
  <si>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</si>
  <si>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</si>
  <si>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</si>
  <si>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</si>
  <si>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</si>
  <si>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</si>
  <si>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</si>
  <si>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</si>
  <si>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</si>
  <si>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</si>
  <si>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</si>
  <si>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</si>
  <si>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</si>
  <si>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</si>
  <si>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</si>
  <si>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</si>
  <si>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</si>
  <si>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</si>
  <si>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</si>
  <si>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</si>
  <si>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</si>
  <si>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</si>
  <si>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</si>
  <si>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</si>
  <si>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</si>
  <si>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</si>
  <si>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</si>
  <si>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</si>
  <si>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</si>
  <si>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</si>
  <si>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</si>
  <si>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</si>
  <si>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</si>
  <si>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</si>
  <si>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</si>
  <si>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</si>
  <si>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</si>
  <si>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</si>
  <si>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</si>
  <si>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</si>
  <si>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</si>
  <si>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</si>
  <si>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</si>
  <si>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</si>
  <si>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</si>
  <si>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</si>
  <si>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</si>
  <si>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</si>
  <si>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</si>
  <si>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</si>
  <si>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</si>
  <si>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</si>
  <si>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</si>
  <si>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</si>
  <si>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</si>
  <si>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</si>
  <si>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</si>
  <si>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</si>
  <si>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</si>
  <si>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</si>
  <si>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</si>
  <si>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</si>
  <si>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</si>
  <si>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</si>
  <si>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</si>
  <si>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</si>
  <si>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</si>
  <si>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</si>
  <si>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</si>
  <si>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</si>
  <si>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</si>
  <si>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</si>
  <si>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</si>
  <si>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</si>
  <si>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</si>
  <si>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</si>
  <si>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</si>
  <si>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</si>
  <si>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</si>
  <si>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</si>
  <si>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</si>
  <si>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</si>
  <si>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</si>
  <si>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</si>
  <si>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</si>
  <si>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</si>
  <si>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</si>
  <si>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</si>
  <si>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</si>
  <si>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</si>
  <si>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</si>
  <si>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</si>
  <si>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</si>
  <si>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</si>
  <si>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</si>
  <si>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</si>
  <si>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</si>
  <si>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</si>
  <si>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</si>
  <si>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</si>
  <si>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</si>
  <si>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</si>
  <si>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</si>
  <si>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</si>
  <si>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</si>
  <si>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</si>
  <si>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</si>
  <si>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</si>
  <si>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</si>
  <si>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</si>
  <si>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</si>
  <si>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</si>
  <si>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</si>
  <si>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</si>
  <si>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</si>
  <si>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</si>
  <si>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</si>
  <si>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</si>
  <si>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</si>
  <si>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</si>
  <si>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</si>
  <si>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</si>
  <si>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</si>
  <si>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</si>
  <si>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</si>
  <si>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</si>
  <si>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</si>
  <si>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</si>
  <si>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</si>
  <si>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</si>
  <si>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</si>
  <si>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</si>
  <si>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</si>
  <si>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</si>
  <si>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</si>
  <si>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</si>
  <si>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</si>
  <si>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</si>
  <si>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</si>
  <si>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</si>
  <si>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</si>
  <si>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</si>
  <si>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</si>
  <si>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</si>
  <si>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</si>
  <si>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</si>
  <si>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</si>
  <si>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</si>
  <si>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</si>
  <si>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</si>
  <si>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</si>
  <si>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</si>
  <si>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</si>
  <si>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</si>
  <si>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</si>
  <si>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</si>
  <si>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</si>
  <si>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</si>
  <si>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</si>
  <si>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</si>
  <si>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</si>
  <si>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</si>
  <si>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</si>
  <si>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</si>
  <si>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</si>
  <si>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</si>
  <si>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</si>
  <si>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</si>
  <si>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</si>
  <si>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</si>
  <si>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</si>
  <si>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</si>
  <si>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</si>
  <si>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</si>
  <si>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</si>
  <si>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</si>
  <si>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</si>
  <si>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</si>
  <si>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</si>
  <si>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</si>
  <si>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</si>
  <si>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</si>
  <si>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</si>
  <si>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</si>
  <si>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</si>
  <si>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</si>
  <si>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</si>
  <si>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</si>
  <si>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</si>
  <si>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</si>
  <si>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</si>
  <si>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</si>
  <si>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</si>
  <si>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</si>
  <si>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</si>
  <si>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</si>
  <si>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</si>
  <si>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</si>
  <si>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</si>
  <si>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</si>
  <si>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</si>
  <si>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</si>
  <si>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</si>
  <si>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</si>
  <si>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</si>
  <si>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</si>
  <si>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</si>
  <si>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</si>
  <si>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</si>
  <si>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</si>
  <si>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</si>
  <si>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</si>
  <si>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</si>
  <si>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</si>
  <si>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</si>
  <si>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</si>
  <si>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</si>
  <si>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</si>
  <si>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</si>
  <si>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</si>
  <si>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</si>
  <si>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</si>
  <si>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</si>
  <si>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</si>
  <si>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</si>
  <si>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</si>
  <si>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</si>
  <si>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</si>
  <si>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</si>
  <si>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</si>
  <si>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</si>
  <si>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</si>
  <si>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</si>
  <si>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</si>
  <si>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</si>
  <si>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</si>
  <si>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</si>
  <si>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</si>
  <si>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</si>
  <si>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</si>
  <si>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</si>
  <si>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</si>
  <si>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</si>
  <si>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</si>
  <si>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</si>
  <si>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</si>
  <si>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</si>
  <si>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</si>
  <si>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</si>
  <si>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</si>
  <si>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</si>
  <si>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</si>
  <si>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</si>
  <si>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</si>
  <si>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</si>
  <si>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</si>
  <si>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</si>
  <si>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</si>
  <si>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</si>
  <si>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</si>
  <si>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</si>
  <si>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</si>
  <si>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</si>
  <si>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</si>
  <si>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</si>
  <si>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</si>
  <si>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</si>
  <si>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</si>
  <si>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</si>
  <si>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</si>
  <si>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</si>
  <si>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</si>
  <si>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</si>
  <si>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</si>
  <si>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</si>
  <si>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</si>
  <si>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</si>
  <si>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</si>
  <si>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</si>
  <si>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</si>
  <si>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</si>
  <si>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</si>
  <si>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</si>
  <si>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</si>
  <si>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</si>
  <si>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</si>
  <si>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</si>
  <si>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</si>
  <si>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</si>
  <si>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</si>
  <si>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</si>
  <si>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</si>
  <si>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</si>
  <si>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</si>
  <si>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</si>
  <si>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</si>
  <si>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</si>
  <si>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</si>
  <si>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</si>
  <si>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</si>
  <si>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</si>
  <si>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</si>
  <si>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</si>
  <si>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</si>
  <si>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</si>
  <si>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</si>
  <si>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</si>
  <si>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</si>
  <si>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</si>
  <si>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</si>
  <si>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</si>
  <si>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</si>
  <si>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</si>
  <si>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</si>
  <si>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</si>
  <si>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</si>
  <si>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</si>
  <si>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</si>
  <si>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</si>
  <si>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</si>
  <si>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</si>
  <si>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</si>
  <si>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</si>
  <si>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</si>
  <si>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</si>
  <si>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</si>
  <si>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</si>
  <si>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</si>
  <si>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</si>
  <si>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</si>
  <si>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</si>
  <si>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</si>
  <si>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</si>
  <si>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</si>
  <si>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</si>
  <si>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</si>
  <si>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</si>
  <si>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</si>
  <si>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</si>
  <si>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</si>
  <si>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</si>
  <si>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</si>
  <si>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</si>
  <si>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</si>
  <si>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</si>
  <si>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</si>
  <si>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</si>
  <si>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</si>
  <si>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</si>
  <si>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</si>
  <si>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</si>
  <si>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</si>
  <si>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</si>
  <si>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</si>
  <si>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</si>
  <si>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</si>
  <si>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</si>
  <si>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</si>
  <si>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</si>
  <si>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</si>
  <si>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</si>
  <si>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</si>
  <si>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</si>
  <si>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</si>
  <si>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</si>
  <si>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</si>
  <si>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</si>
  <si>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</si>
  <si>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</si>
  <si>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</si>
  <si>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</si>
  <si>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</si>
  <si>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</si>
  <si>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</si>
  <si>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</si>
  <si>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</si>
  <si>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</si>
  <si>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</si>
  <si>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</si>
  <si>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</si>
  <si>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</si>
  <si>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</si>
  <si>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</si>
  <si>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</si>
  <si>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</si>
  <si>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</si>
  <si>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</si>
  <si>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</si>
  <si>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</si>
  <si>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</si>
  <si>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</si>
  <si>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</si>
  <si>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</si>
  <si>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</si>
  <si>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</si>
  <si>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</si>
  <si>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</si>
  <si>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</si>
  <si>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</si>
  <si>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</si>
  <si>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</si>
  <si>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</si>
  <si>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</si>
  <si>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</si>
  <si>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</si>
  <si>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</si>
  <si>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</si>
  <si>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</si>
  <si>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</si>
  <si>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</si>
  <si>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</si>
  <si>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</si>
  <si>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</si>
  <si>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</si>
  <si>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</si>
  <si>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</si>
  <si>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</si>
  <si>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</si>
  <si>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</si>
  <si>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</si>
  <si>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</si>
  <si>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</si>
  <si>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</si>
  <si>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</si>
  <si>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</si>
  <si>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</si>
  <si>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</si>
  <si>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</si>
  <si>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</si>
  <si>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</si>
  <si>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</si>
  <si>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</si>
  <si>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</si>
  <si>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</si>
  <si>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</si>
  <si>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</si>
  <si>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</si>
  <si>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</si>
  <si>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</si>
  <si>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</si>
  <si>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</si>
  <si>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</si>
  <si>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</si>
  <si>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</si>
  <si>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</si>
  <si>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</si>
  <si>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</si>
  <si>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</si>
  <si>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</si>
  <si>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</si>
  <si>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</si>
  <si>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</si>
  <si>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</si>
  <si>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</si>
  <si>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</si>
  <si>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</si>
  <si>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</si>
  <si>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</si>
  <si>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</si>
  <si>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</si>
  <si>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</si>
  <si>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</si>
  <si>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</si>
  <si>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</si>
  <si>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</si>
  <si>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</si>
  <si>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</si>
  <si>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</si>
  <si>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</si>
  <si>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</si>
  <si>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</si>
  <si>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</si>
  <si>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</si>
  <si>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</si>
  <si>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</si>
  <si>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</si>
  <si>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</si>
  <si>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</si>
  <si>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</si>
  <si>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</si>
  <si>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</si>
  <si>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</si>
  <si>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</si>
  <si>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</si>
  <si>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</si>
  <si>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</si>
  <si>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</si>
  <si>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</si>
  <si>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</si>
  <si>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</si>
  <si>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</si>
  <si>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</si>
  <si>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</si>
  <si>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</si>
  <si>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</si>
  <si>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</si>
  <si>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</si>
  <si>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</si>
  <si>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</si>
  <si>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</si>
  <si>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</si>
  <si>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</si>
  <si>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</si>
  <si>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</si>
  <si>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</si>
  <si>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</si>
  <si>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</si>
  <si>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</si>
  <si>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</si>
  <si>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</si>
  <si>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</si>
  <si>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</si>
  <si>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</si>
  <si>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</si>
  <si>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</si>
  <si>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</si>
  <si>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</si>
  <si>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</si>
  <si>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</si>
  <si>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</si>
  <si>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</si>
  <si>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</si>
  <si>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</si>
  <si>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</si>
  <si>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</si>
  <si>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</si>
  <si>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</si>
  <si>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</si>
  <si>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</si>
  <si>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</si>
  <si>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</si>
  <si>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</si>
  <si>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</si>
  <si>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</si>
  <si>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</si>
  <si>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</si>
  <si>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</si>
  <si>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</si>
  <si>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</si>
  <si>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</si>
  <si>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</si>
  <si>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</si>
  <si>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</si>
  <si>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</si>
  <si>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</si>
  <si>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</si>
  <si>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</si>
  <si>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</si>
  <si>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</si>
  <si>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</si>
  <si>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</si>
  <si>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</si>
  <si>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</si>
  <si>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</si>
  <si>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</si>
  <si>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</si>
  <si>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</si>
  <si>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</si>
  <si>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</si>
  <si>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</si>
  <si>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</si>
  <si>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</si>
  <si>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</si>
  <si>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</si>
  <si>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</si>
  <si>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</si>
  <si>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</si>
  <si>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</si>
  <si>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</si>
  <si>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</si>
  <si>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</si>
  <si>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</si>
  <si>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</si>
  <si>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</si>
  <si>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</si>
  <si>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</si>
  <si>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</si>
  <si>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</si>
  <si>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</si>
  <si>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</si>
  <si>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</si>
  <si>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</si>
  <si>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</si>
  <si>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</si>
  <si>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</si>
  <si>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</si>
  <si>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</si>
  <si>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</si>
  <si>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</si>
  <si>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</si>
  <si>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</si>
  <si>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</si>
  <si>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</si>
  <si>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</si>
  <si>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</si>
  <si>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</si>
  <si>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</si>
  <si>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</si>
  <si>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</si>
  <si>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</si>
  <si>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</si>
  <si>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</si>
  <si>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</si>
  <si>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</si>
  <si>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</si>
  <si>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</si>
  <si>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</si>
  <si>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</si>
  <si>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</si>
  <si>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</si>
  <si>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</si>
  <si>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</si>
  <si>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</si>
  <si>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</si>
  <si>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</si>
  <si>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</si>
  <si>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</si>
  <si>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</si>
  <si>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</si>
  <si>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</si>
  <si>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</si>
  <si>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</si>
  <si>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</si>
  <si>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</si>
  <si>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</si>
  <si>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</si>
  <si>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</si>
  <si>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</si>
  <si>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</si>
  <si>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</si>
  <si>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</si>
  <si>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</si>
  <si>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</si>
  <si>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</si>
  <si>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</si>
  <si>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</si>
  <si>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</si>
  <si>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</si>
  <si>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</si>
  <si>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</si>
  <si>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</si>
  <si>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</si>
  <si>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</si>
  <si>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</si>
  <si>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</si>
  <si>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</si>
  <si>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</si>
  <si>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</si>
  <si>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</si>
  <si>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</si>
  <si>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</si>
  <si>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</si>
  <si>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</si>
  <si>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</si>
  <si>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</si>
  <si>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</si>
  <si>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</si>
  <si>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</si>
  <si>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</si>
  <si>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</si>
  <si>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</si>
  <si>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</si>
  <si>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</si>
  <si>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</si>
  <si>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</si>
  <si>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</si>
  <si>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</si>
  <si>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</si>
  <si>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</si>
  <si>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</si>
  <si>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</si>
  <si>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</si>
  <si>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</si>
  <si>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</si>
  <si>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</si>
  <si>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</si>
  <si>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</si>
  <si>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</si>
  <si>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</si>
  <si>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</si>
  <si>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</si>
  <si>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</si>
  <si>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</si>
  <si>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</si>
  <si>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</si>
  <si>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</si>
  <si>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</si>
  <si>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</si>
  <si>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</si>
  <si>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</si>
  <si>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</si>
  <si>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</si>
  <si>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</si>
  <si>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</si>
  <si>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</si>
  <si>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</si>
  <si>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</si>
  <si>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</si>
  <si>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</si>
  <si>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</si>
  <si>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</si>
  <si>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</si>
  <si>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</si>
  <si>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</si>
  <si>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</si>
  <si>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</si>
  <si>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</si>
  <si>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</si>
  <si>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</si>
  <si>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</si>
  <si>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</si>
  <si>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</si>
  <si>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</si>
  <si>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</si>
  <si>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</si>
  <si>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</si>
  <si>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</si>
  <si>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</si>
  <si>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</si>
  <si>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</si>
  <si>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</si>
  <si>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</si>
  <si>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</si>
  <si>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</si>
  <si>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</si>
  <si>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</si>
  <si>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</si>
  <si>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</si>
  <si>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</si>
  <si>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</si>
  <si>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</si>
  <si>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</si>
  <si>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</si>
  <si>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</si>
  <si>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</si>
  <si>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</si>
  <si>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</si>
  <si>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</si>
  <si>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</si>
  <si>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</si>
  <si>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</si>
  <si>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</si>
  <si>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</si>
  <si>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</si>
  <si>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</si>
  <si>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</si>
  <si>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</si>
  <si>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</si>
  <si>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</si>
  <si>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</si>
  <si>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</si>
  <si>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</si>
  <si>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</si>
  <si>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</si>
  <si>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</si>
  <si>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</si>
  <si>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</si>
  <si>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</si>
  <si>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</si>
  <si>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</si>
  <si>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</si>
  <si>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</si>
  <si>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</si>
  <si>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</si>
  <si>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</si>
  <si>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</si>
  <si>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</si>
  <si>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</si>
  <si>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</si>
  <si>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</si>
  <si>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</si>
  <si>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</si>
  <si>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</si>
  <si>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</si>
  <si>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</si>
  <si>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</si>
  <si>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</si>
  <si>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</si>
  <si>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</si>
  <si>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</si>
  <si>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</si>
  <si>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</si>
  <si>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</si>
  <si>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</si>
  <si>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</si>
  <si>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</si>
  <si>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</si>
  <si>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</si>
  <si>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</si>
  <si>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</si>
  <si>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</si>
  <si>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</si>
  <si>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</si>
  <si>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</si>
  <si>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</si>
  <si>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</si>
  <si>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</si>
  <si>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</si>
  <si>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</si>
  <si>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</si>
  <si>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</si>
  <si>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</si>
  <si>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</si>
  <si>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</si>
  <si>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</si>
  <si>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</si>
  <si>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</si>
  <si>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</si>
  <si>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</si>
  <si>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</si>
  <si>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</si>
  <si>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</si>
  <si>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</si>
  <si>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</si>
  <si>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</si>
  <si>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</si>
  <si>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</si>
  <si>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</si>
  <si>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</si>
  <si>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</si>
  <si>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</si>
  <si>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</si>
  <si>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</si>
  <si>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</si>
  <si>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</si>
  <si>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</si>
  <si>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</si>
  <si>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</si>
  <si>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</si>
  <si>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</si>
  <si>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</si>
  <si>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</si>
  <si>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</si>
  <si>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</si>
  <si>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</si>
  <si>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</si>
  <si>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</si>
  <si>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</si>
  <si>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</si>
  <si>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</si>
  <si>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</si>
  <si>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</si>
  <si>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</si>
  <si>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</si>
  <si>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</si>
  <si>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</si>
  <si>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</si>
  <si>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</si>
  <si>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</si>
  <si>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</si>
  <si>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</si>
  <si>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</si>
  <si>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</si>
  <si>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</si>
  <si>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</si>
  <si>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</si>
  <si>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</si>
  <si>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</si>
  <si>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</si>
  <si>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</si>
  <si>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</si>
  <si>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</si>
  <si>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</si>
  <si>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</si>
  <si>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</si>
  <si>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</si>
  <si>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</si>
  <si>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</si>
  <si>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</si>
  <si>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</si>
  <si>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</si>
  <si>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</si>
  <si>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</si>
  <si>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</si>
  <si>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</si>
  <si>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</si>
  <si>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</si>
  <si>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</si>
  <si>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</si>
  <si>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</si>
  <si>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</si>
  <si>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</si>
  <si>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</si>
  <si>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</si>
  <si>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</si>
  <si>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</si>
  <si>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</si>
  <si>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</si>
  <si>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</si>
  <si>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</si>
  <si>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</si>
  <si>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</si>
  <si>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</si>
  <si>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</si>
  <si>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</si>
  <si>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</si>
  <si>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</si>
  <si>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</si>
  <si>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</si>
  <si>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</si>
  <si>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</si>
  <si>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MALAGA</t>
  </si>
  <si>
    <t>Resumenes por Partidos Judiciales</t>
  </si>
  <si>
    <t>TORREMOLINOS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</si>
</sst>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OjZghvnQ9anPkO2cHAusY7cu6+9iolhV96r+l8YFnEXyaGrJkOT4xZtCKL2y9AMsk+zRY+wQWv6lF24+BskcA==" saltValue="62Wjz5v8WwQZcftWQTr5+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7.6952789699570818</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126</v>
      </c>
      <c r="D10" s="239">
        <f>IF(ISNUMBER(Datos!I10),Datos!I10," - ")</f>
        <v>126</v>
      </c>
      <c r="E10" s="240">
        <f>IF(ISNUMBER(Datos!J10),Datos!J10," - ")</f>
        <v>105</v>
      </c>
      <c r="F10" s="240">
        <f>IF(ISNUMBER(Datos!K10),Datos!K10," - ")</f>
        <v>99</v>
      </c>
      <c r="G10" s="1390" t="str">
        <f>IF(Datos!E10&lt;&gt;"",Datos!E10,Datos!D10)</f>
        <v>37</v>
      </c>
      <c r="H10" s="241">
        <f>IF(ISNUMBER(Datos!L10),Datos!L10," - ")</f>
        <v>132</v>
      </c>
      <c r="I10" s="1400" t="str">
        <f>IF(ISNUMBER(Datos!AS10/Datos!BM10),Datos!AS10/Datos!BM10," - ")</f>
        <v xml:space="preserve"> - </v>
      </c>
      <c r="J10" s="1401">
        <f>IF(ISNUMBER(Datos!BY10/Datos!CN10),Datos!BY10/Datos!CN10," - ")</f>
        <v>0</v>
      </c>
      <c r="K10" s="244">
        <f t="shared" ref="K10:K13" si="1">IF(ISNUMBER((E10-F10)/C10),(E10-F10)/C10," - ")</f>
        <v>4.7619047619047616E-2</v>
      </c>
      <c r="L10" s="1402">
        <f>IF(ISNUMBER(NºAsuntos!I10/NºAsuntos!G10),(NºAsuntos!I10/NºAsuntos!G10)*11," - ")</f>
        <v>14.666666666666666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126</v>
      </c>
      <c r="D14" s="1407">
        <f>SUBTOTAL(9,D9:D13)</f>
        <v>126</v>
      </c>
      <c r="E14" s="1408">
        <f>SUBTOTAL(9,E9:E13)</f>
        <v>105</v>
      </c>
      <c r="F14" s="1409">
        <f>SUBTOTAL(9,F9:F13)</f>
        <v>99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2173</v>
      </c>
      <c r="D16" s="239">
        <f>IF(ISNUMBER(IF(D_I="SI",Datos!I16,Datos!I16+Datos!AC16)),IF(D_I="SI",Datos!I16,Datos!I16+Datos!AC16)," - ")</f>
        <v>2075</v>
      </c>
      <c r="E16" s="240">
        <f>IF(ISNUMBER(IF(D_I="SI",Datos!J16,Datos!J16+Datos!AD16)),IF(D_I="SI",Datos!J16,Datos!J16+Datos!AD16)," - ")</f>
        <v>15378</v>
      </c>
      <c r="F16" s="240">
        <f>IF(ISNUMBER(IF(D_I="SI",Datos!K16,Datos!K16+Datos!AE16)),IF(D_I="SI",Datos!K16,Datos!K16+Datos!AE16)," - ")</f>
        <v>15602</v>
      </c>
      <c r="G16" s="1390" t="str">
        <f>IF(Datos!E16&lt;&gt;"",Datos!E16,Datos!D16)</f>
        <v>03</v>
      </c>
      <c r="H16" s="241">
        <f>IF(ISNUMBER(IF(D_I="SI",Datos!L16,Datos!L16+Datos!AF16)),IF(D_I="SI",Datos!L16,Datos!L16+Datos!AF16)," - ")</f>
        <v>1949</v>
      </c>
      <c r="I16" s="1400" t="str">
        <f>IF(ISNUMBER(Datos!AS16/Datos!BM16),Datos!AS16/Datos!BM16," - ")</f>
        <v xml:space="preserve"> - </v>
      </c>
      <c r="J16" s="1401">
        <f>IF(ISNUMBER(Datos!BY16/Datos!CN16),Datos!BY16/Datos!CN16," - ")</f>
        <v>0</v>
      </c>
      <c r="K16" s="244">
        <f t="shared" ref="K16:K22" si="3">IF(ISNUMBER((E16-F16)/C16),(E16-F16)/C16," - ")</f>
        <v>-0.10308329498389324</v>
      </c>
      <c r="L16" s="1402">
        <f>IF(ISNUMBER(NºAsuntos!I16/NºAsuntos!G16),(NºAsuntos!I16/NºAsuntos!G16)*11," - ")</f>
        <v>1.3741187027304191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431</v>
      </c>
      <c r="D18" s="239">
        <f>IF(ISNUMBER(IF(D_I="SI",Datos!I18,Datos!I18+Datos!AC18)),IF(D_I="SI",Datos!I18,Datos!I18+Datos!AC18)," - ")</f>
        <v>397</v>
      </c>
      <c r="E18" s="240">
        <f>IF(ISNUMBER(IF(D_I="SI",Datos!J18,Datos!J18+Datos!AD18)),IF(D_I="SI",Datos!J18,Datos!J18+Datos!AD18)," - ")</f>
        <v>1210</v>
      </c>
      <c r="F18" s="240">
        <f>IF(ISNUMBER(IF(D_I="SI",Datos!K18,Datos!K18+Datos!AE18)),IF(D_I="SI",Datos!K18,Datos!K18+Datos!AE18)," - ")</f>
        <v>1300</v>
      </c>
      <c r="G18" s="1390" t="str">
        <f>IF(Datos!E18&lt;&gt;"",Datos!E18,Datos!D18)</f>
        <v>37</v>
      </c>
      <c r="H18" s="241">
        <f>IF(ISNUMBER(IF(D_I="SI",Datos!L18,Datos!L18+Datos!AF18)),IF(D_I="SI",Datos!L18,Datos!L18+Datos!AF18)," - ")</f>
        <v>341</v>
      </c>
      <c r="I18" s="1400" t="str">
        <f>IF(ISNUMBER(Datos!AS18/Datos!BM18),Datos!AS18/Datos!BM18," - ")</f>
        <v xml:space="preserve"> - </v>
      </c>
      <c r="J18" s="1401" t="str">
        <f>IF(ISNUMBER((Datos!BY18+Datos!BZ18)/Datos!CN18),(Datos!BY18+Datos!BZ18)/Datos!CN18," - ")</f>
        <v xml:space="preserve"> - </v>
      </c>
      <c r="K18" s="244">
        <f t="shared" si="3"/>
        <v>-0.20881670533642691</v>
      </c>
      <c r="L18" s="1402">
        <f>IF(ISNUMBER(NºAsuntos!I18/NºAsuntos!G18),(NºAsuntos!I18/NºAsuntos!G18)*11," - ")</f>
        <v>2.8853846153846154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2604</v>
      </c>
      <c r="D23" s="1407">
        <f>SUBTOTAL(9,D16:D22)</f>
        <v>2472</v>
      </c>
      <c r="E23" s="1408">
        <f>SUBTOTAL(9,E16:E22)</f>
        <v>16588</v>
      </c>
      <c r="F23" s="1408">
        <f>SUBTOTAL(9,F16:F22)</f>
        <v>16902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2730</v>
      </c>
      <c r="D31" s="1435">
        <f>SUBTOTAL(9,D9:D30)</f>
        <v>2598</v>
      </c>
      <c r="E31" s="1436">
        <f>SUBTOTAL(9,E9:E30)</f>
        <v>16693</v>
      </c>
      <c r="F31" s="1436">
        <f>SUBTOTAL(9,F9:F30)</f>
        <v>17001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Se8sNCyvu3tmffvDrAi92UjsVpKf60hDxTU42fnP4BoZR3J0FGEkJBQKnp7VUb3yGCNiMEA7IKti5TQ7cmauA==" saltValue="YNkB2d8pISr21Xearw5xo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0x7XN4pPb+327VeqI0PRhvjfxehkdIhqF31qJSIH0IBpB7TF4fpAjGd+k54CEUnUGBJ/ooJPFDq21YcnyL0JA==" saltValue="nwEr1qa9oi5RIotaFXZO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5399</v>
      </c>
      <c r="J9" s="194">
        <v>7597</v>
      </c>
      <c r="K9" s="194">
        <v>7450</v>
      </c>
      <c r="L9" s="194">
        <v>5561</v>
      </c>
      <c r="M9" s="194">
        <v>1776</v>
      </c>
      <c r="N9" s="194">
        <v>3472</v>
      </c>
      <c r="O9" s="194">
        <v>3415</v>
      </c>
      <c r="P9" s="194">
        <v>1883</v>
      </c>
      <c r="Q9" s="194">
        <v>1511</v>
      </c>
      <c r="R9" s="194">
        <v>6496</v>
      </c>
      <c r="S9" s="194">
        <v>5569</v>
      </c>
      <c r="T9" s="194">
        <v>7915</v>
      </c>
      <c r="U9" s="194">
        <v>8134</v>
      </c>
      <c r="V9" s="194">
        <v>5399</v>
      </c>
      <c r="W9" s="194">
        <v>1768</v>
      </c>
      <c r="X9" s="201">
        <v>3674</v>
      </c>
      <c r="Y9" s="204">
        <v>169</v>
      </c>
      <c r="Z9" s="194">
        <v>693</v>
      </c>
      <c r="AA9" s="194">
        <v>705</v>
      </c>
      <c r="AB9" s="194">
        <v>144</v>
      </c>
      <c r="AC9" s="194">
        <v>0</v>
      </c>
      <c r="AD9" s="194">
        <v>0</v>
      </c>
      <c r="AE9" s="194">
        <v>0</v>
      </c>
      <c r="AF9" s="201">
        <v>0</v>
      </c>
      <c r="AG9" s="204">
        <v>135</v>
      </c>
      <c r="AH9" s="194">
        <v>723</v>
      </c>
      <c r="AI9" s="194">
        <v>689</v>
      </c>
      <c r="AJ9" s="205">
        <v>169</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5704</v>
      </c>
      <c r="AZ9" s="133">
        <f>IF(ISNUMBER(IF(J_V="SI",T9,T9+AH9)),IF(J_V="SI",T9,T9+AH9)," - ")</f>
        <v>8638</v>
      </c>
      <c r="BA9" s="134">
        <f>IF(ISNUMBER(IF(J_V="SI",U9,U9+AI9)),IF(J_V="SI",U9,U9+AI9)," - ")</f>
        <v>8823</v>
      </c>
      <c r="BB9" s="134">
        <f>IF(ISNUMBER(IF(J_V="SI",V9,V9+AJ9)),IF(J_V="SI",V9,V9+AJ9)," - ")</f>
        <v>5568</v>
      </c>
      <c r="BC9" s="135">
        <f>IF(ISNUMBER(X9),X9," - ")</f>
        <v>3674</v>
      </c>
      <c r="BD9" s="136">
        <f>IF(ISNUMBER(BA9/AZ9),BA9/AZ9," - ")</f>
        <v>1.0214169946746932</v>
      </c>
      <c r="BE9" s="137">
        <f>IF(ISNUMBER(BB9/BA9),BB9/BA9, " - ")</f>
        <v>0.63107786467188032</v>
      </c>
      <c r="BF9" s="137">
        <f>IF(ISNUMBER(BC9/BA9),BC9/BA9, " - ")</f>
        <v>0.41641165136574859</v>
      </c>
      <c r="BG9" s="209">
        <f>IF(ISNUMBER((AY9+AZ9)/BA9),(AY9+AZ9)/BA9," - ")</f>
        <v>1.6255241981185538</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126</v>
      </c>
      <c r="J10" s="194">
        <v>105</v>
      </c>
      <c r="K10" s="194">
        <v>99</v>
      </c>
      <c r="L10" s="194">
        <v>132</v>
      </c>
      <c r="M10" s="194">
        <v>32</v>
      </c>
      <c r="N10" s="194">
        <v>25</v>
      </c>
      <c r="O10" s="194">
        <v>56</v>
      </c>
      <c r="P10" s="194">
        <v>22</v>
      </c>
      <c r="Q10" s="194">
        <v>38</v>
      </c>
      <c r="R10" s="194">
        <v>65</v>
      </c>
      <c r="S10" s="194">
        <v>98</v>
      </c>
      <c r="T10" s="194">
        <v>103</v>
      </c>
      <c r="U10" s="194">
        <v>94</v>
      </c>
      <c r="V10" s="194">
        <v>126</v>
      </c>
      <c r="W10" s="194">
        <v>43</v>
      </c>
      <c r="X10" s="201">
        <v>37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98</v>
      </c>
      <c r="AZ10" s="139">
        <f t="shared" si="0"/>
        <v>103</v>
      </c>
      <c r="BA10" s="139">
        <f t="shared" si="0"/>
        <v>94</v>
      </c>
      <c r="BB10" s="139">
        <f t="shared" si="0"/>
        <v>126</v>
      </c>
      <c r="BC10" s="135">
        <f t="shared" si="0"/>
        <v>43</v>
      </c>
      <c r="BD10" s="136">
        <f>IF(ISNUMBER(BA10/AZ10),BA10/AZ10," - ")</f>
        <v>0.91262135922330101</v>
      </c>
      <c r="BE10" s="137">
        <f>IF(ISNUMBER(BB10/BA10),BB10/BA10, " - ")</f>
        <v>1.3404255319148937</v>
      </c>
      <c r="BF10" s="137">
        <f>IF(ISNUMBER(BC10/BA10),BC10/BA10, " - ")</f>
        <v>0.45744680851063829</v>
      </c>
      <c r="BG10" s="209">
        <f>IF(ISNUMBER((AY10+AZ10)/BA10),(AY10+AZ10)/BA10," - ")</f>
        <v>2.1382978723404253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5525</v>
      </c>
      <c r="J14" s="197">
        <f t="shared" si="7"/>
        <v>7702</v>
      </c>
      <c r="K14" s="197">
        <f t="shared" si="7"/>
        <v>7549</v>
      </c>
      <c r="L14" s="197">
        <f t="shared" si="7"/>
        <v>5693</v>
      </c>
      <c r="M14" s="197">
        <f t="shared" si="7"/>
        <v>1808</v>
      </c>
      <c r="N14" s="197">
        <f t="shared" si="7"/>
        <v>3497</v>
      </c>
      <c r="O14" s="197">
        <f t="shared" si="7"/>
        <v>3471</v>
      </c>
      <c r="P14" s="197">
        <f t="shared" si="7"/>
        <v>1905</v>
      </c>
      <c r="Q14" s="197">
        <f t="shared" si="7"/>
        <v>1549</v>
      </c>
      <c r="R14" s="197">
        <f t="shared" si="7"/>
        <v>6561</v>
      </c>
      <c r="S14" s="197">
        <f t="shared" si="7"/>
        <v>5667</v>
      </c>
      <c r="T14" s="197">
        <f t="shared" si="7"/>
        <v>8018</v>
      </c>
      <c r="U14" s="197">
        <f t="shared" si="7"/>
        <v>8228</v>
      </c>
      <c r="V14" s="197">
        <f t="shared" si="7"/>
        <v>5525</v>
      </c>
      <c r="W14" s="197">
        <f t="shared" si="7"/>
        <v>1811</v>
      </c>
      <c r="X14" s="197">
        <f t="shared" si="7"/>
        <v>3711</v>
      </c>
      <c r="Y14" s="197">
        <f t="shared" si="7"/>
        <v>169</v>
      </c>
      <c r="Z14" s="197">
        <f t="shared" si="7"/>
        <v>693</v>
      </c>
      <c r="AA14" s="197">
        <f t="shared" si="7"/>
        <v>705</v>
      </c>
      <c r="AB14" s="197">
        <f t="shared" si="7"/>
        <v>144</v>
      </c>
      <c r="AC14" s="197">
        <f t="shared" si="7"/>
        <v>0</v>
      </c>
      <c r="AD14" s="197">
        <f t="shared" si="7"/>
        <v>0</v>
      </c>
      <c r="AE14" s="197">
        <f t="shared" si="7"/>
        <v>0</v>
      </c>
      <c r="AF14" s="197">
        <f>SUBTOTAL(9,AF9:AF13)</f>
        <v>0</v>
      </c>
      <c r="AG14" s="197">
        <f t="shared" ref="AG14:AT14" si="8">SUBTOTAL(9,AG8:AG13)</f>
        <v>135</v>
      </c>
      <c r="AH14" s="197">
        <f t="shared" si="8"/>
        <v>723</v>
      </c>
      <c r="AI14" s="197">
        <f t="shared" si="8"/>
        <v>689</v>
      </c>
      <c r="AJ14" s="197">
        <f t="shared" si="8"/>
        <v>169</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5802</v>
      </c>
      <c r="AZ14" s="197">
        <f>SUBTOTAL(9,AZ8:AZ13)</f>
        <v>8741</v>
      </c>
      <c r="BA14" s="197">
        <f>SUBTOTAL(9,BA8:BA13)</f>
        <v>8917</v>
      </c>
      <c r="BB14" s="197">
        <f>SUBTOTAL(9,BB8:BB13)</f>
        <v>5694</v>
      </c>
      <c r="BC14" s="197">
        <f>SUBTOTAL(9,BC8:BC13)</f>
        <v>3717</v>
      </c>
      <c r="BD14" s="219">
        <f>IF(ISNUMBER(BA14/AZ14),BA14/AZ14," - ")</f>
        <v>1.0201349959958814</v>
      </c>
      <c r="BE14" s="220">
        <f>IF(ISNUMBER(BB14/BA14),BB14/BA14, " - ")</f>
        <v>0.63855556801614888</v>
      </c>
      <c r="BF14" s="220">
        <f>IF(ISNUMBER(BC14/BA14),BC14/BA14, " - ")</f>
        <v>0.41684423012223842</v>
      </c>
      <c r="BG14" s="221">
        <f>IF(ISNUMBER((AY14+AZ14)/BA14),(AY14+AZ14)/BA14," - ")</f>
        <v>1.6309296848715935</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2075</v>
      </c>
      <c r="J16" s="196">
        <v>15378</v>
      </c>
      <c r="K16" s="196">
        <v>15602</v>
      </c>
      <c r="L16" s="196">
        <v>1949</v>
      </c>
      <c r="M16" s="196">
        <v>1181</v>
      </c>
      <c r="N16" s="196">
        <v>10534</v>
      </c>
      <c r="O16" s="194">
        <v>249</v>
      </c>
      <c r="P16" s="196">
        <v>289</v>
      </c>
      <c r="Q16" s="196">
        <v>277</v>
      </c>
      <c r="R16" s="196">
        <v>192</v>
      </c>
      <c r="S16" s="196">
        <v>1990</v>
      </c>
      <c r="T16" s="196">
        <v>14343</v>
      </c>
      <c r="U16" s="196">
        <v>14421</v>
      </c>
      <c r="V16" s="196">
        <v>2075</v>
      </c>
      <c r="W16" s="196">
        <v>1138</v>
      </c>
      <c r="X16" s="202">
        <v>9466</v>
      </c>
      <c r="Y16" s="215">
        <v>0</v>
      </c>
      <c r="Z16" s="196">
        <v>0</v>
      </c>
      <c r="AA16" s="196">
        <v>0</v>
      </c>
      <c r="AB16" s="196">
        <v>0</v>
      </c>
      <c r="AC16" s="196">
        <v>0</v>
      </c>
      <c r="AD16" s="196">
        <v>24</v>
      </c>
      <c r="AE16" s="196">
        <v>24</v>
      </c>
      <c r="AF16" s="202">
        <v>0</v>
      </c>
      <c r="AG16" s="215">
        <v>0</v>
      </c>
      <c r="AH16" s="196">
        <v>0</v>
      </c>
      <c r="AI16" s="196">
        <v>0</v>
      </c>
      <c r="AJ16" s="216">
        <v>0</v>
      </c>
      <c r="AK16" s="195">
        <v>23</v>
      </c>
      <c r="AL16" s="196">
        <v>66</v>
      </c>
      <c r="AM16" s="196">
        <v>89</v>
      </c>
      <c r="AN16" s="202">
        <v>0</v>
      </c>
      <c r="AO16" s="283">
        <v>5</v>
      </c>
      <c r="AP16" s="168">
        <v>5</v>
      </c>
      <c r="AQ16" s="168">
        <v>5</v>
      </c>
      <c r="AR16" s="168">
        <v>5</v>
      </c>
      <c r="AS16" s="381" t="s">
        <v>702</v>
      </c>
      <c r="AT16" s="216" t="s">
        <v>424</v>
      </c>
      <c r="AU16" s="215"/>
      <c r="AV16" s="216"/>
      <c r="AW16" s="215"/>
      <c r="AX16" s="216"/>
      <c r="AY16" s="138">
        <f t="shared" ref="AY16:BB17" si="10">IF(ISNUMBER(IF(D_I="SI",S16,S16+AK16)),IF(D_I="SI",S16,S16+AK16)," - ")</f>
        <v>1990</v>
      </c>
      <c r="AZ16" s="139">
        <f t="shared" si="10"/>
        <v>14343</v>
      </c>
      <c r="BA16" s="139">
        <f t="shared" si="10"/>
        <v>14421</v>
      </c>
      <c r="BB16" s="139">
        <f t="shared" si="10"/>
        <v>2075</v>
      </c>
      <c r="BC16" s="135">
        <f>IF(ISNUMBER(W16),W16," - ")</f>
        <v>1138</v>
      </c>
      <c r="BD16" s="136">
        <f>IF(ISNUMBER(BA16/AZ16),BA16/AZ16," - ")</f>
        <v>1.0054381928466849</v>
      </c>
      <c r="BE16" s="137">
        <f>IF(ISNUMBER(BB16/BA16),BB16/BA16, " - ")</f>
        <v>0.14388738645031551</v>
      </c>
      <c r="BF16" s="137">
        <f>IF(ISNUMBER(BC16/BA16),BC16/BA16, " - ")</f>
        <v>7.8912696761667012E-2</v>
      </c>
      <c r="BG16" s="209">
        <f t="shared" ref="BG16:BG22" si="11">IF(ISNUMBER((AY16+AZ16)/BA16),(AY16+AZ16)/BA16," - ")</f>
        <v>1.1325844254906039</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397</v>
      </c>
      <c r="J18" s="196">
        <v>1210</v>
      </c>
      <c r="K18" s="196">
        <v>1300</v>
      </c>
      <c r="L18" s="196">
        <v>341</v>
      </c>
      <c r="M18" s="196">
        <v>73</v>
      </c>
      <c r="N18" s="196">
        <v>655</v>
      </c>
      <c r="O18" s="196">
        <v>16</v>
      </c>
      <c r="P18" s="196">
        <v>8</v>
      </c>
      <c r="Q18" s="196">
        <v>16</v>
      </c>
      <c r="R18" s="196">
        <v>4</v>
      </c>
      <c r="S18" s="196">
        <v>177</v>
      </c>
      <c r="T18" s="196">
        <v>921</v>
      </c>
      <c r="U18" s="196">
        <v>896</v>
      </c>
      <c r="V18" s="196">
        <v>397</v>
      </c>
      <c r="W18" s="196">
        <v>72</v>
      </c>
      <c r="X18" s="202">
        <v>535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177</v>
      </c>
      <c r="AZ18" s="139">
        <f t="shared" si="15"/>
        <v>921</v>
      </c>
      <c r="BA18" s="139">
        <f t="shared" si="15"/>
        <v>896</v>
      </c>
      <c r="BB18" s="139">
        <f t="shared" si="15"/>
        <v>397</v>
      </c>
      <c r="BC18" s="135">
        <f>IF(ISNUMBER(W18),W18," - ")</f>
        <v>72</v>
      </c>
      <c r="BD18" s="136">
        <f>IF(ISNUMBER(BA18/AZ18),BA18/AZ18," - ")</f>
        <v>0.97285559174809988</v>
      </c>
      <c r="BE18" s="137">
        <f>IF(ISNUMBER(BB18/BA18),BB18/BA18, " - ")</f>
        <v>0.44308035714285715</v>
      </c>
      <c r="BF18" s="137">
        <f>IF(ISNUMBER(BC18/BA18),BC18/BA18, " - ")</f>
        <v>8.0357142857142863E-2</v>
      </c>
      <c r="BG18" s="209">
        <f>IF(ISNUMBER((AY18+AZ18)/BA18),(AY18+AZ18)/BA18," - ")</f>
        <v>1.2254464285714286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2472</v>
      </c>
      <c r="J23" s="197">
        <f t="shared" si="21"/>
        <v>16588</v>
      </c>
      <c r="K23" s="197">
        <f t="shared" si="21"/>
        <v>16902</v>
      </c>
      <c r="L23" s="197">
        <f t="shared" si="21"/>
        <v>2290</v>
      </c>
      <c r="M23" s="197">
        <f t="shared" si="21"/>
        <v>1254</v>
      </c>
      <c r="N23" s="197">
        <f t="shared" si="21"/>
        <v>11189</v>
      </c>
      <c r="O23" s="197">
        <f t="shared" si="21"/>
        <v>265</v>
      </c>
      <c r="P23" s="197">
        <f t="shared" si="21"/>
        <v>297</v>
      </c>
      <c r="Q23" s="197">
        <f t="shared" si="21"/>
        <v>293</v>
      </c>
      <c r="R23" s="197">
        <f t="shared" si="21"/>
        <v>196</v>
      </c>
      <c r="S23" s="197">
        <f t="shared" si="21"/>
        <v>2167</v>
      </c>
      <c r="T23" s="197">
        <f t="shared" si="21"/>
        <v>15264</v>
      </c>
      <c r="U23" s="197">
        <f t="shared" si="21"/>
        <v>15317</v>
      </c>
      <c r="V23" s="197">
        <f t="shared" si="21"/>
        <v>2472</v>
      </c>
      <c r="W23" s="197">
        <f t="shared" si="21"/>
        <v>1210</v>
      </c>
      <c r="X23" s="197">
        <f t="shared" si="21"/>
        <v>10001</v>
      </c>
      <c r="Y23" s="197">
        <f t="shared" si="21"/>
        <v>0</v>
      </c>
      <c r="Z23" s="197">
        <f t="shared" si="21"/>
        <v>0</v>
      </c>
      <c r="AA23" s="197">
        <f t="shared" si="21"/>
        <v>0</v>
      </c>
      <c r="AB23" s="197">
        <f t="shared" si="21"/>
        <v>0</v>
      </c>
      <c r="AC23" s="197">
        <f t="shared" si="21"/>
        <v>0</v>
      </c>
      <c r="AD23" s="197">
        <f t="shared" si="21"/>
        <v>24</v>
      </c>
      <c r="AE23" s="197">
        <f t="shared" si="21"/>
        <v>24</v>
      </c>
      <c r="AF23" s="197">
        <f t="shared" si="21"/>
        <v>0</v>
      </c>
      <c r="AG23" s="197">
        <f t="shared" si="21"/>
        <v>0</v>
      </c>
      <c r="AH23" s="197">
        <f t="shared" si="21"/>
        <v>0</v>
      </c>
      <c r="AI23" s="197">
        <f t="shared" si="21"/>
        <v>0</v>
      </c>
      <c r="AJ23" s="197">
        <f t="shared" si="21"/>
        <v>0</v>
      </c>
      <c r="AK23" s="197">
        <f t="shared" si="21"/>
        <v>23</v>
      </c>
      <c r="AL23" s="197">
        <f t="shared" si="21"/>
        <v>66</v>
      </c>
      <c r="AM23" s="197">
        <f t="shared" si="21"/>
        <v>89</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2167</v>
      </c>
      <c r="AZ23" s="197">
        <f>SUBTOTAL(9,AZ15:AZ22)</f>
        <v>15264</v>
      </c>
      <c r="BA23" s="197">
        <f>SUBTOTAL(9,BA15:BA22)</f>
        <v>15317</v>
      </c>
      <c r="BB23" s="197">
        <f>SUBTOTAL(9,BB15:BB22)</f>
        <v>2472</v>
      </c>
      <c r="BC23" s="197">
        <f>SUBTOTAL(9,BC15:BC22)</f>
        <v>1210</v>
      </c>
      <c r="BD23" s="219">
        <f>IF(ISNUMBER(BA23/AZ23),BA23/AZ23," - ")</f>
        <v>1.0034722222222223</v>
      </c>
      <c r="BE23" s="220">
        <f>IF(ISNUMBER(BB23/BA23),BB23/BA23, " - ")</f>
        <v>0.16138930599986942</v>
      </c>
      <c r="BF23" s="220">
        <f>IF(ISNUMBER(BC23/BA23),BC23/BA23, " - ")</f>
        <v>7.8997192661748386E-2</v>
      </c>
      <c r="BG23" s="221">
        <f>IF(ISNUMBER((AY23+AZ23)/BA23),(AY23+AZ23)/BA23," - ")</f>
        <v>1.1380165828817654</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7997</v>
      </c>
      <c r="J31" s="144">
        <f t="shared" si="36"/>
        <v>24290</v>
      </c>
      <c r="K31" s="144">
        <f t="shared" si="36"/>
        <v>24451</v>
      </c>
      <c r="L31" s="144">
        <f t="shared" si="36"/>
        <v>7983</v>
      </c>
      <c r="M31" s="144">
        <f t="shared" si="36"/>
        <v>3062</v>
      </c>
      <c r="N31" s="144">
        <f t="shared" si="36"/>
        <v>14686</v>
      </c>
      <c r="O31" s="144">
        <f t="shared" si="36"/>
        <v>3736</v>
      </c>
      <c r="P31" s="144">
        <f t="shared" si="36"/>
        <v>2202</v>
      </c>
      <c r="Q31" s="144">
        <f t="shared" si="36"/>
        <v>1842</v>
      </c>
      <c r="R31" s="144">
        <f t="shared" si="36"/>
        <v>6757</v>
      </c>
      <c r="S31" s="144">
        <f t="shared" si="36"/>
        <v>7834</v>
      </c>
      <c r="T31" s="144">
        <f t="shared" si="36"/>
        <v>23282</v>
      </c>
      <c r="U31" s="144">
        <f t="shared" si="36"/>
        <v>23545</v>
      </c>
      <c r="V31" s="144">
        <f t="shared" si="36"/>
        <v>7997</v>
      </c>
      <c r="W31" s="144">
        <f t="shared" si="36"/>
        <v>3021</v>
      </c>
      <c r="X31" s="144">
        <f t="shared" si="36"/>
        <v>13712</v>
      </c>
      <c r="Y31" s="144">
        <f t="shared" si="36"/>
        <v>169</v>
      </c>
      <c r="Z31" s="144">
        <f t="shared" si="36"/>
        <v>693</v>
      </c>
      <c r="AA31" s="144">
        <f t="shared" si="36"/>
        <v>705</v>
      </c>
      <c r="AB31" s="144">
        <f t="shared" si="36"/>
        <v>144</v>
      </c>
      <c r="AC31" s="144">
        <f t="shared" si="36"/>
        <v>0</v>
      </c>
      <c r="AD31" s="144">
        <f t="shared" si="36"/>
        <v>24</v>
      </c>
      <c r="AE31" s="144">
        <f t="shared" si="36"/>
        <v>24</v>
      </c>
      <c r="AF31" s="144">
        <f t="shared" si="36"/>
        <v>0</v>
      </c>
      <c r="AG31" s="144">
        <f t="shared" si="36"/>
        <v>135</v>
      </c>
      <c r="AH31" s="144">
        <f t="shared" si="36"/>
        <v>723</v>
      </c>
      <c r="AI31" s="144">
        <f t="shared" si="36"/>
        <v>689</v>
      </c>
      <c r="AJ31" s="144">
        <f t="shared" si="36"/>
        <v>169</v>
      </c>
      <c r="AK31" s="144">
        <f t="shared" si="36"/>
        <v>23</v>
      </c>
      <c r="AL31" s="144">
        <f t="shared" si="36"/>
        <v>66</v>
      </c>
      <c r="AM31" s="144">
        <f t="shared" si="36"/>
        <v>89</v>
      </c>
      <c r="AN31" s="224">
        <f t="shared" si="36"/>
        <v>0</v>
      </c>
      <c r="AO31" s="225">
        <v>11</v>
      </c>
      <c r="AP31" s="225">
        <v>10</v>
      </c>
      <c r="AQ31" s="225">
        <v>10</v>
      </c>
      <c r="AR31" s="225">
        <v>10</v>
      </c>
      <c r="AS31" s="166">
        <f t="shared" si="36"/>
        <v>0</v>
      </c>
      <c r="AT31" s="166">
        <f t="shared" si="36"/>
        <v>0</v>
      </c>
      <c r="AU31" s="225"/>
      <c r="AV31" s="226"/>
      <c r="AW31" s="225"/>
      <c r="AX31" s="226"/>
      <c r="AY31" s="143">
        <f>SUBTOTAL(9,AY9:AY30)</f>
        <v>7969</v>
      </c>
      <c r="AZ31" s="144">
        <f>SUBTOTAL(9,AZ9:AZ30)</f>
        <v>24005</v>
      </c>
      <c r="BA31" s="144">
        <f>SUBTOTAL(9,BA9:BA30)</f>
        <v>24234</v>
      </c>
      <c r="BB31" s="144">
        <f>SUBTOTAL(9,BB9:BB30)</f>
        <v>8166</v>
      </c>
      <c r="BC31" s="145">
        <f>SUBTOTAL(9,BC9:BC30)</f>
        <v>4927</v>
      </c>
      <c r="BD31" s="227">
        <f>IF(ISNUMBER(BA31/AZ31),BA31/AZ31," - ")</f>
        <v>1.009539679233493</v>
      </c>
      <c r="BE31" s="224">
        <f>IF(ISNUMBER(BB31/BA31),BB31/BA31, " - ")</f>
        <v>0.33696459519683092</v>
      </c>
      <c r="BF31" s="224">
        <f>IF(ISNUMBER(BC31/BA31),BC31/BA31, " - ")</f>
        <v>0.20330940001650574</v>
      </c>
      <c r="BG31" s="145">
        <f>IF(ISNUMBER((AY31+AZ31)/BA31),(AY31+AZ31)/BA31," - ")</f>
        <v>1.3193859866303541</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H4DBhaEPw7XL6OvtVGKpSt0dWn/fuppvTp0oNqaPqVgtfPeDTbNJVJWw0HuRnWZWWi4I3Y3FNn8Qr8Sn3xSuQ==" saltValue="yFUW54VdM8g5tMJDmXPy2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PsjVV8EKYusx+5kgyhsCixM5WWA+lpbO3RNbJvZP+Iqf5Oxe9H7jK6t8nIHGp2ZuNuL43VZIIxZ18pGg4X2ZA==" saltValue="xHQb178PQ6d34hRLGGM4b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TORREMOLINOS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693</v>
      </c>
      <c r="O9" s="549"/>
      <c r="P9" s="549"/>
      <c r="Q9" s="547">
        <f>IF(ISNUMBER(Datos!P9),Datos!P9,0)</f>
        <v>1883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1511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144</v>
      </c>
      <c r="AI9" s="549" t="str">
        <f>IF(ISNUMBER(Datos!CD9),Datos!CD9,"-")</f>
        <v>-</v>
      </c>
      <c r="AJ9" s="549" t="str">
        <f>IF(ISNUMBER(Datos!EN9),Datos!EN9," - ")</f>
        <v xml:space="preserve"> - </v>
      </c>
      <c r="AK9" s="549"/>
      <c r="AL9" s="550"/>
      <c r="AM9" s="766">
        <f>IF(ISNUMBER(Datos!R9),Datos!R9," - ")</f>
        <v>6496</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1776</v>
      </c>
      <c r="BD9" s="693">
        <f>IF(ISNUMBER(Datos!N9),Datos!N9," - ")</f>
        <v>3472</v>
      </c>
      <c r="BE9" s="693" t="str">
        <f>IF(ISNUMBER(Datos!BW9),Datos!BW9," - ")</f>
        <v xml:space="preserve"> - </v>
      </c>
      <c r="BF9" s="762" t="str">
        <f>IF(ISNUMBER(Datos!BX9),Datos!BX9," - ")</f>
        <v xml:space="preserve"> - </v>
      </c>
      <c r="BG9" s="763">
        <f>IF(ISNUMBER(IF(J_V="SI",Datos!K9/Datos!J9,(Datos!K9+Datos!AA9)/(Datos!J9+Datos!Z9))),IF(J_V="SI",Datos!K9/Datos!J9,(Datos!K9+Datos!AA9)/(Datos!J9+Datos!Z9))," - ")</f>
        <v>0.98371531966224368</v>
      </c>
      <c r="BH9" s="764">
        <f>IF(ISNUMBER(((IF(J_V="SI",Datos!L9/Datos!K9,(Datos!L9+Datos!AB9)/(Datos!K9+Datos!AA9)))*11)/factor_trimestre),((IF(J_V="SI",Datos!L9/Datos!K9,(Datos!L9+Datos!AB9)/(Datos!K9+Datos!AA9)))*11)/factor_trimestre," - ")</f>
        <v>7.6952789699570818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6.0744611365120833E-2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126</v>
      </c>
      <c r="G10" s="543">
        <f>IF(ISNUMBER(Datos!I10),Datos!I10," - ")</f>
        <v>126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99</v>
      </c>
      <c r="AC10" s="547">
        <f>IF(ISNUMBER(Datos!Q10),Datos!Q10," - ")</f>
        <v>38</v>
      </c>
      <c r="AD10" s="549"/>
      <c r="AE10" s="563"/>
      <c r="AF10" s="551">
        <f>IF(ISNUMBER(Datos!L10),Datos!L10,"-")</f>
        <v>132</v>
      </c>
      <c r="AG10" s="549"/>
      <c r="AH10" s="549"/>
      <c r="AI10" s="549"/>
      <c r="AJ10" s="549"/>
      <c r="AK10" s="549"/>
      <c r="AL10" s="550"/>
      <c r="AM10" s="766">
        <f>IF(ISNUMBER(Datos!R10),Datos!R10," - ")</f>
        <v>65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32</v>
      </c>
      <c r="BD10" s="693">
        <f>IF(ISNUMBER(Datos!N10),Datos!N10," - ")</f>
        <v>25</v>
      </c>
      <c r="BE10" s="693" t="str">
        <f>IF(ISNUMBER(Datos!BW10),Datos!BW10," - ")</f>
        <v xml:space="preserve"> - </v>
      </c>
      <c r="BF10" s="762" t="str">
        <f>IF(ISNUMBER(Datos!BX10),Datos!BX10," - ")</f>
        <v xml:space="preserve"> - </v>
      </c>
      <c r="BG10" s="763">
        <f>IF(ISNUMBER(Datos!K10/Datos!J10),Datos!K10/Datos!J10," - ")</f>
        <v>0.94285714285714284</v>
      </c>
      <c r="BH10" s="764">
        <f>IF(ISNUMBER(((Datos!L10/Datos!K10)*11)/factor_trimestre),((Datos!L10/Datos!K10)*11)/factor_trimestre," - ")</f>
        <v>14.666666666666666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-0.19753086419753085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5</v>
      </c>
      <c r="F14" s="1197">
        <f t="shared" si="1"/>
        <v>126</v>
      </c>
      <c r="G14" s="1197">
        <f t="shared" si="1"/>
        <v>126</v>
      </c>
      <c r="H14" s="1198">
        <f t="shared" si="1"/>
        <v>0</v>
      </c>
      <c r="I14" s="1197">
        <f t="shared" si="1"/>
        <v>0</v>
      </c>
      <c r="J14" s="1164">
        <f t="shared" si="1"/>
        <v>0</v>
      </c>
      <c r="K14" s="1164">
        <f t="shared" si="1"/>
        <v>0</v>
      </c>
      <c r="L14" s="1198">
        <f t="shared" si="1"/>
        <v>0</v>
      </c>
      <c r="M14" s="1198">
        <f t="shared" si="1"/>
        <v>0</v>
      </c>
      <c r="N14" s="1198">
        <f t="shared" si="1"/>
        <v>693</v>
      </c>
      <c r="O14" s="1199">
        <f t="shared" si="1"/>
        <v>0</v>
      </c>
      <c r="P14" s="1199">
        <f t="shared" si="1"/>
        <v>0</v>
      </c>
      <c r="Q14" s="1198">
        <f t="shared" si="1"/>
        <v>1905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99</v>
      </c>
      <c r="AC14" s="1198">
        <f t="shared" si="2"/>
        <v>1549</v>
      </c>
      <c r="AD14" s="1198">
        <f t="shared" si="2"/>
        <v>0</v>
      </c>
      <c r="AE14" s="1198">
        <f t="shared" si="2"/>
        <v>0</v>
      </c>
      <c r="AF14" s="1198">
        <f t="shared" si="2"/>
        <v>132</v>
      </c>
      <c r="AG14" s="1198">
        <f t="shared" si="2"/>
        <v>0</v>
      </c>
      <c r="AH14" s="1198">
        <f t="shared" si="2"/>
        <v>144</v>
      </c>
      <c r="AI14" s="1198">
        <f t="shared" si="2"/>
        <v>0</v>
      </c>
      <c r="AJ14" s="1198">
        <f t="shared" si="2"/>
        <v>0</v>
      </c>
      <c r="AK14" s="1198">
        <f t="shared" si="2"/>
        <v>0</v>
      </c>
      <c r="AL14" s="1198">
        <f t="shared" si="2"/>
        <v>0</v>
      </c>
      <c r="AM14" s="1198">
        <f t="shared" si="2"/>
        <v>6561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1808</v>
      </c>
      <c r="BD14" s="1198">
        <f t="shared" si="2"/>
        <v>3497</v>
      </c>
      <c r="BE14" s="1198">
        <f t="shared" si="2"/>
        <v>0</v>
      </c>
      <c r="BF14" s="1198">
        <f t="shared" si="2"/>
        <v>0</v>
      </c>
      <c r="BG14" s="1198">
        <f>IF(ISNUMBER(Datos!K14/Datos!J14),Datos!K14/Datos!J14," - ")</f>
        <v>0.98013502986237344</v>
      </c>
      <c r="BH14" s="1202">
        <f>IF(ISNUMBER(((Datos!L14/Datos!K14)*11)/factor_trimestre),((Datos!L14/Datos!K14)*11)/factor_trimestre," - ")</f>
        <v>8.2955358325606028</v>
      </c>
      <c r="BI14" s="1198">
        <f>IF(ISNUMBER('Resol  Asuntos'!D14/NºAsuntos!G14),'Resol  Asuntos'!D14/NºAsuntos!G14," - ")</f>
        <v>0.21904531136418706</v>
      </c>
      <c r="BJ14" s="1198" t="str">
        <f>IF(ISNUMBER(Datos!CI14/Datos!CJ14),Datos!CI14/Datos!CJ14," - ")</f>
        <v xml:space="preserve"> - </v>
      </c>
      <c r="BK14" s="1198">
        <f>SUBTOTAL(9,BK8:BK13)</f>
        <v>0</v>
      </c>
      <c r="BL14" s="1198">
        <f>IF(ISNUMBER((I14-AB14+L14)/(F14)),(I14-AB14+L14)/(F14)," - ")</f>
        <v>-0.7857142857142857</v>
      </c>
      <c r="BM14" s="1203">
        <f>SUBTOTAL(9,BM9:BM13)</f>
        <v>-0.13678625283241003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2173</v>
      </c>
      <c r="G16" s="743">
        <f>IF(ISNUMBER(IF(D_I="SI",Datos!I16,Datos!I16+Datos!AC16)),IF(D_I="SI",Datos!I16,Datos!I16+Datos!AC16)," - ")</f>
        <v>2075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289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15602</v>
      </c>
      <c r="AC16" s="240">
        <f>IF(ISNUMBER(Datos!Q16),Datos!Q16," - ")</f>
        <v>277</v>
      </c>
      <c r="AD16" s="374"/>
      <c r="AE16" s="562"/>
      <c r="AF16" s="741">
        <f>IF(ISNUMBER(IF(D_I="SI",Datos!L16,Datos!L16+Datos!AF16)),IF(D_I="SI",Datos!L16,Datos!L16+Datos!AF16)," - ")</f>
        <v>1949</v>
      </c>
      <c r="AG16" s="374"/>
      <c r="AH16" s="374"/>
      <c r="AI16" s="374"/>
      <c r="AJ16" s="549"/>
      <c r="AK16" s="374"/>
      <c r="AL16" s="545"/>
      <c r="AM16" s="375">
        <f>IF(ISNUMBER(Datos!R16),Datos!R16," - ")</f>
        <v>192</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1181</v>
      </c>
      <c r="BD16" s="243">
        <f>IF(ISNUMBER(Datos!N16),Datos!N16," - ")</f>
        <v>10534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1.0145662634933021</v>
      </c>
      <c r="BH16" s="764">
        <f>IF(ISNUMBER(((IF(D_I="SI",Datos!L16/Datos!K16,(Datos!L16+Datos!AF16)/(Datos!K16+Datos!AE16)))*11)/factor_trimestre),((IF(D_I="SI",Datos!L16/Datos!K16,(Datos!L16+Datos!AF16)/(Datos!K16+Datos!AE16)))*11)/factor_trimestre," - ")</f>
        <v>1.3741187027304191</v>
      </c>
      <c r="BI16" s="266">
        <f>IF(ISNUMBER('Resol  Asuntos'!D16/NºAsuntos!G16),'Resol  Asuntos'!D16/NºAsuntos!G16," - ")</f>
        <v>7.5695423663632869E-2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397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8</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1300</v>
      </c>
      <c r="AC18" s="547">
        <f>IF(ISNUMBER(Datos!Q18),Datos!Q18," - ")</f>
        <v>16</v>
      </c>
      <c r="AD18" s="549"/>
      <c r="AE18" s="562"/>
      <c r="AF18" s="551">
        <f>IF(ISNUMBER(Datos!L18),Datos!L18,"-")</f>
        <v>341</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73</v>
      </c>
      <c r="BD18" s="693">
        <f>IF(ISNUMBER(Datos!N18),Datos!N18," - ")</f>
        <v>655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1.0743801652892562</v>
      </c>
      <c r="BH18" s="764">
        <f>IF(ISNUMBER(((IF(D_I="SI",Datos!L18/Datos!K18,(Datos!L18+Datos!AF18)/(Datos!K18+Datos!AE18)))*11)/factor_trimestre),((IF(D_I="SI",Datos!L18/Datos!K18,(Datos!L18+Datos!AF18)/(Datos!K18+Datos!AE18)))*11)/factor_trimestre," - ")</f>
        <v>2.8853846153846154</v>
      </c>
      <c r="BI18" s="763">
        <f>IF(ISNUMBER('Resol  Asuntos'!D18/NºAsuntos!G18),'Resol  Asuntos'!D18/NºAsuntos!G18," - ")</f>
        <v>5.6153846153846151E-2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5</v>
      </c>
      <c r="F23" s="1197">
        <f>SUBTOTAL(9,F16:F22)</f>
        <v>2173</v>
      </c>
      <c r="G23" s="1197">
        <f>SUBTOTAL(9,G16:G22)</f>
        <v>2472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297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16902</v>
      </c>
      <c r="AC23" s="1198">
        <f t="shared" si="5"/>
        <v>293</v>
      </c>
      <c r="AD23" s="1198">
        <f t="shared" si="5"/>
        <v>0</v>
      </c>
      <c r="AE23" s="1198">
        <f t="shared" si="5"/>
        <v>0</v>
      </c>
      <c r="AF23" s="1198">
        <f t="shared" si="5"/>
        <v>2290</v>
      </c>
      <c r="AG23" s="1198">
        <f t="shared" si="5"/>
        <v>0</v>
      </c>
      <c r="AH23" s="1198">
        <f t="shared" si="5"/>
        <v>0</v>
      </c>
      <c r="AI23" s="1198">
        <f t="shared" si="5"/>
        <v>0</v>
      </c>
      <c r="AJ23" s="1198">
        <f t="shared" si="5"/>
        <v>0</v>
      </c>
      <c r="AK23" s="1198">
        <f t="shared" si="5"/>
        <v>0</v>
      </c>
      <c r="AL23" s="1198">
        <f t="shared" si="5"/>
        <v>0</v>
      </c>
      <c r="AM23" s="1198">
        <f t="shared" si="5"/>
        <v>196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1254</v>
      </c>
      <c r="BD23" s="1198">
        <f t="shared" si="5"/>
        <v>11189</v>
      </c>
      <c r="BE23" s="1198">
        <f t="shared" si="5"/>
        <v>0</v>
      </c>
      <c r="BF23" s="1198">
        <f t="shared" si="5"/>
        <v>0</v>
      </c>
      <c r="BG23" s="1198">
        <f>IF(ISNUMBER(Datos!K23/Datos!J23),Datos!K23/Datos!J23," - ")</f>
        <v>1.0189293465155533</v>
      </c>
      <c r="BH23" s="1202">
        <f>IF(ISNUMBER(((Datos!L23/Datos!K23)*11)/factor_trimestre),((Datos!L23/Datos!K23)*11)/factor_trimestre," - ")</f>
        <v>1.4903561708673529</v>
      </c>
      <c r="BI23" s="1198">
        <f>SUBTOTAL(9,BI16:BI22)</f>
        <v>0.13184926981747902</v>
      </c>
      <c r="BJ23" s="1198">
        <f>SUBTOTAL(9,BJ16:BJ22)</f>
        <v>0</v>
      </c>
      <c r="BK23" s="1198">
        <f>SUBTOTAL(9,BK16:BK22)</f>
        <v>0</v>
      </c>
      <c r="BL23" s="1198">
        <f>IF(ISNUMBER((I23-AB23+L23)/(F23)),(I23-AB23+L23)/(F23)," - ")</f>
        <v>-7.7781868384721582</v>
      </c>
      <c r="BM23" s="1205">
        <f>IF(ISNUMBER((Datos!P23-Datos!Q23)/(Datos!R23-Datos!P23+Datos!Q23)),(Datos!P23-Datos!Q23)/(Datos!R23-Datos!P23+Datos!Q23)," - ")</f>
        <v>2.0833333333333332E-2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10</v>
      </c>
      <c r="F31" s="1117">
        <f t="shared" si="18"/>
        <v>2299</v>
      </c>
      <c r="G31" s="1117">
        <f t="shared" si="18"/>
        <v>2598</v>
      </c>
      <c r="H31" s="1119">
        <f t="shared" si="18"/>
        <v>0</v>
      </c>
      <c r="I31" s="1117">
        <f t="shared" si="18"/>
        <v>0</v>
      </c>
      <c r="J31" s="1119">
        <f t="shared" si="18"/>
        <v>0</v>
      </c>
      <c r="K31" s="1119">
        <f t="shared" si="18"/>
        <v>0</v>
      </c>
      <c r="L31" s="1180">
        <f t="shared" si="18"/>
        <v>0</v>
      </c>
      <c r="M31" s="1180">
        <f t="shared" si="18"/>
        <v>0</v>
      </c>
      <c r="N31" s="1180">
        <f t="shared" si="18"/>
        <v>693</v>
      </c>
      <c r="O31" s="1180">
        <f t="shared" si="18"/>
        <v>0</v>
      </c>
      <c r="P31" s="1180">
        <f t="shared" si="18"/>
        <v>0</v>
      </c>
      <c r="Q31" s="1119">
        <f t="shared" si="18"/>
        <v>2202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17001</v>
      </c>
      <c r="AC31" s="1118">
        <f t="shared" si="19"/>
        <v>1842</v>
      </c>
      <c r="AD31" s="1118">
        <f t="shared" si="19"/>
        <v>0</v>
      </c>
      <c r="AE31" s="1118">
        <f t="shared" si="19"/>
        <v>0</v>
      </c>
      <c r="AF31" s="1125">
        <f t="shared" si="19"/>
        <v>2422</v>
      </c>
      <c r="AG31" s="1125">
        <f t="shared" si="19"/>
        <v>0</v>
      </c>
      <c r="AH31" s="1125">
        <f t="shared" si="19"/>
        <v>144</v>
      </c>
      <c r="AI31" s="1125">
        <f t="shared" si="19"/>
        <v>0</v>
      </c>
      <c r="AJ31" s="1118">
        <f t="shared" si="19"/>
        <v>0</v>
      </c>
      <c r="AK31" s="1125">
        <f t="shared" si="19"/>
        <v>0</v>
      </c>
      <c r="AL31" s="1125">
        <f t="shared" si="19"/>
        <v>0</v>
      </c>
      <c r="AM31" s="1125">
        <f t="shared" si="19"/>
        <v>6757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3062</v>
      </c>
      <c r="BD31" s="1117">
        <f t="shared" si="19"/>
        <v>14686</v>
      </c>
      <c r="BE31" s="1117">
        <f t="shared" si="19"/>
        <v>0</v>
      </c>
      <c r="BF31" s="1127">
        <f t="shared" si="19"/>
        <v>0</v>
      </c>
      <c r="BG31" s="1223">
        <f>IF(ISNUMBER(Datos!K31/Datos!J31),Datos!K31/Datos!J31," - ")</f>
        <v>1.006628242074928</v>
      </c>
      <c r="BH31" s="1223">
        <f>IF(ISNUMBER(((Datos!L31/Datos!K31)*11)/factor_trimestre),((Datos!L31/Datos!K31)*11)/factor_trimestre," - ")</f>
        <v>3.5913868553433397</v>
      </c>
      <c r="BI31" s="1103">
        <f>IF(ISNUMBER(Datos!J31/Datos!I31),Datos!J31/Datos!I31," - ")</f>
        <v>3.0373890208828311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-7.3949543279686818</v>
      </c>
      <c r="BM31" s="1188">
        <f>IF(ISNUMBER((Datos!P31-Datos!Q31+R31)/(Datos!R31-Datos!P31+Datos!Q31-R31)),(Datos!P31-Datos!Q31+R31)/(Datos!R31-Datos!P31+Datos!Q31-R31)," - ")</f>
        <v>5.627637955291543E-2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742.28571428571433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1091.0553912000373</v>
      </c>
      <c r="G33" s="674">
        <f>IF(ISNUMBER(STDEV(G8:G30)),STDEV(G8:G30),"-")</f>
        <v>1060.5700847949206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7806.4858047041644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820.16966885778311</v>
      </c>
      <c r="BD33" s="673"/>
      <c r="BE33" s="673">
        <f>IF(ISNUMBER(STDEV(BE8:BE30)),STDEV(BE8:BE30),"-")</f>
        <v>0</v>
      </c>
      <c r="BF33" s="678">
        <f>IF(ISNUMBER(STDEV(BF8:BF30)),STDEV(BF8:BF30),"-")</f>
        <v>0</v>
      </c>
      <c r="BG33" s="1052">
        <f>IF(ISNUMBER(STDEV(BG8:BG30)),STDEV(BG8:BG30),"-")</f>
        <v>4.4704751139305429E-2</v>
      </c>
      <c r="BH33" s="1058">
        <f>IF(ISNUMBER(STDEV(BH8:BH30)),STDEV(BH8:BH30),"-")</f>
        <v>5.1896706340403735</v>
      </c>
      <c r="BI33" s="273">
        <f>IF(ISNUMBER(STDEV(BI8:BI30)),STDEV(BI8:BI30),"-")</f>
        <v>7.3001651954257243E-2</v>
      </c>
      <c r="BJ33" s="244" t="str">
        <f>IF(ISNUMBER(BL33/BM33),BL33/BM33," - ")</f>
        <v xml:space="preserve"> - </v>
      </c>
      <c r="BK33" s="709"/>
      <c r="BL33" s="681">
        <f>IF(ISNUMBER(STDEV(BL8:BL30)),STDEV(BL8:BL30),"-")</f>
        <v>4.9444247593159014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5OqIpRgtSaCyLn1twBq0hn//9z1B4Zo3c3hpR44sHGnYqgIMP6xkBfgpt7YuZRAdH5QgxzE5hLavKb0JKpVFOw==" saltValue="QbCq/jvGavy1qTkzug/zC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TORREMOLINOS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1883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1511</v>
      </c>
      <c r="AA9" s="551" t="str">
        <f>IF(ISNUMBER(IF(J_V="SI",Datos!L9,Datos!L9+Datos!AB9)-IF(Monitorios="SI",Datos!CD9,0)),
                          IF(J_V="SI",Datos!L9,Datos!L9+Datos!AB9)-IF(Monitorios="SI",Datos!CD9,0),
                          " - ")</f>
        <v xml:space="preserve"> - </v>
      </c>
      <c r="AB9" s="549"/>
      <c r="AC9" s="549"/>
      <c r="AD9" s="563"/>
      <c r="AE9" s="563">
        <f>IF(ISNUMBER(Datos!R9),Datos!R9," - ")</f>
        <v>6496</v>
      </c>
      <c r="AF9" s="693" t="str">
        <f>IF(ISNUMBER(Datos!BV9),Datos!BV9," - ")</f>
        <v xml:space="preserve"> - </v>
      </c>
      <c r="AG9" s="552" t="str">
        <f>IF(ISNUMBER(Datos!DV9),Datos!DV9," - ")</f>
        <v xml:space="preserve"> - </v>
      </c>
      <c r="AH9" s="553"/>
      <c r="AI9" s="554"/>
      <c r="AJ9" s="552">
        <f>IF(ISNUMBER(Datos!M9),Datos!M9," - ")</f>
        <v>1776</v>
      </c>
      <c r="AK9" s="693">
        <f>IF(ISNUMBER(Datos!N9),Datos!N9," - ")</f>
        <v>3472</v>
      </c>
      <c r="AL9" s="693" t="str">
        <f>IF(ISNUMBER(Datos!BW9),Datos!BW9," - ")</f>
        <v xml:space="preserve"> - </v>
      </c>
      <c r="AM9" s="762" t="str">
        <f>IF(ISNUMBER(Datos!BX9),Datos!BX9," - ")</f>
        <v xml:space="preserve"> - </v>
      </c>
      <c r="AN9" s="763"/>
      <c r="AO9" s="764">
        <f>IF(ISNUMBER(((NºAsuntos!I9/NºAsuntos!G9)*11)/factor_trimestre),((NºAsuntos!I9/NºAsuntos!G9)*11)/factor_trimestre," - ")</f>
        <v>7.6952789699570818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6.0744611365120833E-2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126</v>
      </c>
      <c r="G10" s="552">
        <f>IF(ISNUMBER(Datos!I10),Datos!I10," - ")</f>
        <v>126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99</v>
      </c>
      <c r="Z10" s="805">
        <f>IF(ISNUMBER(Datos!Q10),Datos!Q10," - ")</f>
        <v>38</v>
      </c>
      <c r="AA10" s="551">
        <f>IF(ISNUMBER(Datos!L10),Datos!L10,"-")</f>
        <v>132</v>
      </c>
      <c r="AB10" s="549"/>
      <c r="AC10" s="549"/>
      <c r="AD10" s="563"/>
      <c r="AE10" s="563">
        <f>IF(ISNUMBER(Datos!R10),Datos!R10," - ")</f>
        <v>65</v>
      </c>
      <c r="AF10" s="693" t="str">
        <f>IF(ISNUMBER(Datos!BV10),Datos!BV10," - ")</f>
        <v xml:space="preserve"> - </v>
      </c>
      <c r="AG10" s="552" t="str">
        <f>IF(ISNUMBER(Datos!DV10),Datos!DV10," - ")</f>
        <v xml:space="preserve"> - </v>
      </c>
      <c r="AH10" s="553"/>
      <c r="AI10" s="554"/>
      <c r="AJ10" s="552">
        <f>IF(ISNUMBER(Datos!M10),Datos!M10," - ")</f>
        <v>32</v>
      </c>
      <c r="AK10" s="693">
        <f>IF(ISNUMBER(Datos!N10),Datos!N10," - ")</f>
        <v>25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14.666666666666666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-0.19753086419753085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5</v>
      </c>
      <c r="F14" s="1197">
        <f>SUBTOTAL(9,F8:F13)</f>
        <v>126</v>
      </c>
      <c r="G14" s="1197">
        <f>SUBTOTAL(9,G8:G13)</f>
        <v>126</v>
      </c>
      <c r="H14" s="1211"/>
      <c r="I14" s="1197">
        <f t="shared" ref="I14:N14" si="1">SUBTOTAL(9,I8:I13)</f>
        <v>0</v>
      </c>
      <c r="J14" s="1164">
        <f t="shared" si="1"/>
        <v>0</v>
      </c>
      <c r="K14" s="1211">
        <f t="shared" si="1"/>
        <v>0</v>
      </c>
      <c r="L14" s="1211">
        <f t="shared" si="1"/>
        <v>0</v>
      </c>
      <c r="M14" s="1211">
        <f t="shared" si="1"/>
        <v>0</v>
      </c>
      <c r="N14" s="1211">
        <f t="shared" si="1"/>
        <v>1905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99</v>
      </c>
      <c r="Z14" s="1210">
        <f t="shared" si="3"/>
        <v>1549</v>
      </c>
      <c r="AA14" s="1199">
        <f t="shared" si="3"/>
        <v>132</v>
      </c>
      <c r="AB14" s="1199">
        <f t="shared" si="3"/>
        <v>0</v>
      </c>
      <c r="AC14" s="1199">
        <f t="shared" si="3"/>
        <v>0</v>
      </c>
      <c r="AD14" s="1199">
        <f t="shared" si="3"/>
        <v>0</v>
      </c>
      <c r="AE14" s="1199">
        <f t="shared" si="3"/>
        <v>6561</v>
      </c>
      <c r="AF14" s="1211">
        <f t="shared" si="3"/>
        <v>0</v>
      </c>
      <c r="AG14" s="1211">
        <f t="shared" si="3"/>
        <v>0</v>
      </c>
      <c r="AH14" s="1211">
        <f t="shared" si="3"/>
        <v>0</v>
      </c>
      <c r="AI14" s="1211">
        <f t="shared" si="3"/>
        <v>0</v>
      </c>
      <c r="AJ14" s="1211">
        <f t="shared" si="3"/>
        <v>1808</v>
      </c>
      <c r="AK14" s="1211">
        <f t="shared" si="3"/>
        <v>3497</v>
      </c>
      <c r="AL14" s="1211">
        <f t="shared" si="3"/>
        <v>0</v>
      </c>
      <c r="AM14" s="1211">
        <f t="shared" si="3"/>
        <v>0</v>
      </c>
      <c r="AN14" s="1211">
        <f t="shared" si="3"/>
        <v>0</v>
      </c>
      <c r="AO14" s="1203">
        <f>IF(ISNUMBER(((NºAsuntos!I14/NºAsuntos!G14)*11)/factor_trimestre),((NºAsuntos!I14/NºAsuntos!G14)*11)/factor_trimestre," - ")</f>
        <v>7.778895081172764</v>
      </c>
      <c r="AP14" s="1213" t="str">
        <f>IF(ISNUMBER(Datos!CI14/Datos!CJ14),Datos!CI14/Datos!CJ14," - ")</f>
        <v xml:space="preserve"> - </v>
      </c>
      <c r="AQ14" s="1236">
        <f t="shared" ref="AQ14:AV14" si="4">SUBTOTAL(9,AQ9:AQ13)</f>
        <v>0</v>
      </c>
      <c r="AR14" s="1236">
        <f t="shared" si="4"/>
        <v>-0.13678625283241003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2173</v>
      </c>
      <c r="G16" s="552">
        <f>IF(ISNUMBER(IF(D_I="SI",Datos!I16,Datos!I16+Datos!AC16)),IF(D_I="SI",Datos!I16,Datos!I16+Datos!AC16)," - ")</f>
        <v>2075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289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15602</v>
      </c>
      <c r="Z16" s="805">
        <f>IF(ISNUMBER(Datos!Q16),Datos!Q16," - ")</f>
        <v>277</v>
      </c>
      <c r="AA16" s="551">
        <f>IF(ISNUMBER(IF(D_I="SI",Datos!L16,Datos!L16+Datos!AF16)),IF(D_I="SI",Datos!L16,Datos!L16+Datos!AF16)," - ")</f>
        <v>1949</v>
      </c>
      <c r="AB16" s="549"/>
      <c r="AC16" s="549"/>
      <c r="AD16" s="563"/>
      <c r="AE16" s="563">
        <f>IF(ISNUMBER(Datos!R16),Datos!R16," - ")</f>
        <v>192</v>
      </c>
      <c r="AF16" s="693" t="str">
        <f>IF(ISNUMBER(Datos!BV16),Datos!BV16," - ")</f>
        <v xml:space="preserve"> - </v>
      </c>
      <c r="AG16" s="552"/>
      <c r="AH16" s="553"/>
      <c r="AI16" s="554"/>
      <c r="AJ16" s="552">
        <f>IF(ISNUMBER(Datos!M16),Datos!M16," - ")</f>
        <v>1181</v>
      </c>
      <c r="AK16" s="693">
        <f>IF(ISNUMBER(Datos!N16),Datos!N16," - ")</f>
        <v>10534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1.3741187027304191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397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8</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1300</v>
      </c>
      <c r="Z18" s="805">
        <f>IF(ISNUMBER(Datos!Q18),Datos!Q18," - ")</f>
        <v>16</v>
      </c>
      <c r="AA18" s="551">
        <f>IF(ISNUMBER(Datos!L18),Datos!L18,"-")</f>
        <v>341</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73</v>
      </c>
      <c r="AK18" s="693">
        <f>IF(ISNUMBER(Datos!N18),Datos!N18," - ")</f>
        <v>655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2.8853846153846154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5</v>
      </c>
      <c r="F23" s="1197">
        <f>SUBTOTAL(9,F16:F22)</f>
        <v>2173</v>
      </c>
      <c r="G23" s="1197">
        <f>SUBTOTAL(9,G16:G22)</f>
        <v>2472</v>
      </c>
      <c r="H23" s="1240">
        <f>SUBTOTAL(9,H16:H22)</f>
        <v>0</v>
      </c>
      <c r="I23" s="1217">
        <f>SUBTOTAL(9,I16:I22)</f>
        <v>0</v>
      </c>
      <c r="J23" s="1164">
        <f>SUBTOTAL(9,J15:J22)</f>
        <v>0</v>
      </c>
      <c r="K23" s="1240">
        <f t="shared" ref="K23:S23" si="5">SUBTOTAL(9,K16:K22)</f>
        <v>0</v>
      </c>
      <c r="L23" s="1240">
        <f t="shared" si="5"/>
        <v>0</v>
      </c>
      <c r="M23" s="1240">
        <f t="shared" si="5"/>
        <v>0</v>
      </c>
      <c r="N23" s="1240">
        <f t="shared" si="5"/>
        <v>297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16902</v>
      </c>
      <c r="Z23" s="1240">
        <f t="shared" si="6"/>
        <v>293</v>
      </c>
      <c r="AA23" s="1240">
        <f t="shared" si="6"/>
        <v>2290</v>
      </c>
      <c r="AB23" s="1240">
        <f t="shared" si="6"/>
        <v>0</v>
      </c>
      <c r="AC23" s="1240">
        <f t="shared" si="6"/>
        <v>0</v>
      </c>
      <c r="AD23" s="1240">
        <f t="shared" si="6"/>
        <v>0</v>
      </c>
      <c r="AE23" s="1240">
        <f t="shared" si="6"/>
        <v>196</v>
      </c>
      <c r="AF23" s="1240">
        <f t="shared" si="6"/>
        <v>0</v>
      </c>
      <c r="AG23" s="1240">
        <f t="shared" si="6"/>
        <v>0</v>
      </c>
      <c r="AH23" s="1240">
        <f t="shared" si="6"/>
        <v>0</v>
      </c>
      <c r="AI23" s="1240">
        <f t="shared" si="6"/>
        <v>0</v>
      </c>
      <c r="AJ23" s="1240">
        <f t="shared" si="6"/>
        <v>1254</v>
      </c>
      <c r="AK23" s="1240">
        <f t="shared" si="6"/>
        <v>11189</v>
      </c>
      <c r="AL23" s="1240">
        <f t="shared" si="6"/>
        <v>0</v>
      </c>
      <c r="AM23" s="1240">
        <f t="shared" si="6"/>
        <v>0</v>
      </c>
      <c r="AN23" s="1240">
        <f t="shared" si="6"/>
        <v>0</v>
      </c>
      <c r="AO23" s="1242">
        <f>IF(ISNUMBER(((NºAsuntos!I23/NºAsuntos!G23)*11)/factor_trimestre),((NºAsuntos!I23/NºAsuntos!G23)*11)/factor_trimestre," - ")</f>
        <v>1.4903561708673529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2299</v>
      </c>
      <c r="G31" s="1117">
        <f t="shared" si="12"/>
        <v>2598</v>
      </c>
      <c r="H31" s="1118">
        <f t="shared" si="12"/>
        <v>0</v>
      </c>
      <c r="I31" s="1117">
        <f t="shared" si="12"/>
        <v>0</v>
      </c>
      <c r="J31" s="1119">
        <f t="shared" si="12"/>
        <v>0</v>
      </c>
      <c r="K31" s="1117">
        <f t="shared" si="12"/>
        <v>0</v>
      </c>
      <c r="L31" s="1120">
        <f t="shared" si="12"/>
        <v>0</v>
      </c>
      <c r="M31" s="1117">
        <f t="shared" si="12"/>
        <v>0</v>
      </c>
      <c r="N31" s="1118">
        <f t="shared" si="12"/>
        <v>2202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17001</v>
      </c>
      <c r="Z31" s="1124">
        <f t="shared" si="13"/>
        <v>1842</v>
      </c>
      <c r="AA31" s="1125">
        <f t="shared" si="13"/>
        <v>2422</v>
      </c>
      <c r="AB31" s="1125">
        <f t="shared" si="13"/>
        <v>0</v>
      </c>
      <c r="AC31" s="1125">
        <f t="shared" si="13"/>
        <v>0</v>
      </c>
      <c r="AD31" s="1126">
        <f t="shared" si="13"/>
        <v>0</v>
      </c>
      <c r="AE31" s="1126">
        <f t="shared" si="13"/>
        <v>6757</v>
      </c>
      <c r="AF31" s="1127">
        <f t="shared" si="13"/>
        <v>0</v>
      </c>
      <c r="AG31" s="1128">
        <f t="shared" si="13"/>
        <v>0</v>
      </c>
      <c r="AH31" s="1129">
        <f t="shared" si="13"/>
        <v>0</v>
      </c>
      <c r="AI31" s="1127">
        <f t="shared" si="13"/>
        <v>0</v>
      </c>
      <c r="AJ31" s="1117">
        <f t="shared" si="13"/>
        <v>3062</v>
      </c>
      <c r="AK31" s="1117">
        <f t="shared" si="13"/>
        <v>14686</v>
      </c>
      <c r="AL31" s="1117">
        <f t="shared" si="13"/>
        <v>0</v>
      </c>
      <c r="AM31" s="1130">
        <f t="shared" si="13"/>
        <v>0</v>
      </c>
      <c r="AN31" s="1120">
        <f>IF(ISNUMBER(Datos!K31/Datos!J31),Datos!K31/Datos!J31," - ")</f>
        <v>1.006628242074928</v>
      </c>
      <c r="AO31" s="1120">
        <f>IF(ISNUMBER(FIND("06",Criterios!A8,1)),(IF(ISNUMBER(((Datos!R31/Datos!Q31)*11)/factor_trimestre),((Datos!R31/Datos!Q31)*11)/factor_trimestre," - ")),(IF(ISNUMBER(((Datos!L31/Datos!K31)*11)/factor_trimestre),((Datos!L31/Datos!K31)*11)/factor_trimestre," - ")))</f>
        <v>3.5913868553433397</v>
      </c>
      <c r="AP31" s="1131" t="str">
        <f>IF(ISNUMBER(Datos!CI31/Datos!CJ31),Datos!CI31/Datos!CJ31," - ")</f>
        <v xml:space="preserve"> - </v>
      </c>
      <c r="AQ31" s="1131">
        <f>IF(OR(ISNUMBER(FIND("01",Criterios!A8,1)),ISNUMBER(FIND("02",Criterios!A8,1)),ISNUMBER(FIND("03",Criterios!A8,1)),ISNUMBER(FIND("04",Criterios!A8,1))),(J31-Y31+K31)/(F31-K31),(I31-Y31+K31)/(F31-K31))</f>
        <v>-7.3949543279686818</v>
      </c>
      <c r="AR31" s="1131">
        <f>IF(ISNUMBER((Datos!P31-Datos!Q31+O31)/(Datos!R31-Datos!P31+Datos!Q31-O31)),(Datos!P31-Datos!Q31+O31)/(Datos!R31-Datos!P31+Datos!Q31-O31)," - ")</f>
        <v>5.627637955291543E-2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742.28571428571433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1091.0553912000373</v>
      </c>
      <c r="G33" s="674">
        <f>IF(ISNUMBER(STDEV(G8:G30)),STDEV(G8:G30),"-")</f>
        <v>1060.5700847949206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820.16966885778311</v>
      </c>
      <c r="AK33" s="276"/>
      <c r="AL33" s="276">
        <f>IF(ISNUMBER(STDEV(AL8:AL30)),STDEV(AL8:AL30),"-")</f>
        <v>0</v>
      </c>
      <c r="AM33" s="278">
        <f>IF(ISNUMBER(STDEV(AM8:AM30)),STDEV(AM8:AM30),"-")</f>
        <v>0</v>
      </c>
      <c r="AN33" s="660">
        <f>IF(ISNUMBER(STDEV(AN8:AN30)),STDEV(AN8:AN30),"-")</f>
        <v>0</v>
      </c>
      <c r="AO33" s="661">
        <f>IF(ISNUMBER(STDEV(AO8:AO30)),STDEV(AO8:AO30),"-")</f>
        <v>5.149447596954901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QYxsztoB8fXkF1FqtPyYC3TECkRc+Q4b/jq8rxGB85nRyDI4mqe9Mxs2tUsUuNqj92l1MqmZZP8Xodcsm47TjA==" saltValue="rsTHjOcekYASsEBratkTX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ySCe+mSA/E7adXpCdPci4mwSuyFRFlBgQ7YKH+obZG35jFTAouvZH9vuo4ooYPTTu7NankGBUvF6W7h3pnN9Q==" saltValue="eTzNSr+VjRS0nfun3/Qt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syRb3rI0i7l4b0NR/sAL5VMXpXGWJsxX3INXTzmPQSkEdTfoqWkeyZJGpMJbu5H703tYZ2e7eSLEiS9PdXN5A==" saltValue="4plmdPRM+Zirt3PFL2r/V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TORREMOLINOS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0.21904531136418706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0.1548884250527354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lYTfpFOGxRph7ok6fj/yoa6bRKTVdRSr7FEkgfKPCQgCgDkydnLrxyrktWk0CkTokvmQ+lIDDGWZ2MPGPh2AA==" saltValue="PcMt84jvJ3JQ/SfP4KSw5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32ZT0x9pGqeUgEQ7MiVkBWaFIqHBey3QeHb5O915sluq9D1G3TrC549riMGSpbt4FLaas9vU2P9NlbfAt9TpSw==" saltValue="r5cw5xbO2aLTNvhk+yfG3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TORREMOLINOS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5568</v>
      </c>
      <c r="D9" s="452">
        <f>IF(ISNUMBER(C9/Datos!BH9),C9/Datos!BH9," - ")</f>
        <v>1113.5999999999999</v>
      </c>
      <c r="E9" s="451">
        <f>IF(ISNUMBER(IF(J_V="SI",Datos!J9,Datos!J9+Datos!Z9)),IF(J_V="SI",Datos!J9,Datos!J9+Datos!Z9)," - ")</f>
        <v>8290</v>
      </c>
      <c r="F9" s="452">
        <f>IF(ISNUMBER(E9/B9),E9/B9," - ")</f>
        <v>1658</v>
      </c>
      <c r="G9" s="451">
        <f>IF(ISNUMBER(IF(J_V="SI",Datos!K9,Datos!K9+Datos!AA9)),IF(J_V="SI",Datos!K9,Datos!K9+Datos!AA9)," - ")</f>
        <v>8155</v>
      </c>
      <c r="H9" s="452">
        <f>IF(ISNUMBER(G9/B9),G9/B9," - ")</f>
        <v>1631</v>
      </c>
      <c r="I9" s="451">
        <f>IF(ISNUMBER(IF(J_V="SI",Datos!L9,Datos!L9+Datos!AB9)),IF(J_V="SI",Datos!L9,Datos!L9+Datos!AB9)," - ")</f>
        <v>5705</v>
      </c>
      <c r="J9" s="452">
        <f>IF(ISNUMBER(I9/B9),I9/B9," - ")</f>
        <v>1141</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126</v>
      </c>
      <c r="D10" s="452">
        <f>IF(ISNUMBER(C10/Datos!BH10),C10/Datos!BH10," - ")</f>
        <v>126</v>
      </c>
      <c r="E10" s="451">
        <f>IF(ISNUMBER(Datos!J10),Datos!J10," - ")</f>
        <v>105</v>
      </c>
      <c r="F10" s="452">
        <f>IF(ISNUMBER(E10/B10),E10/B10," - ")</f>
        <v>105</v>
      </c>
      <c r="G10" s="451">
        <f>IF(ISNUMBER(Datos!K10),Datos!K10," - ")</f>
        <v>99</v>
      </c>
      <c r="H10" s="452">
        <f>IF(ISNUMBER(G10/B10),G10/B10," - ")</f>
        <v>99</v>
      </c>
      <c r="I10" s="451">
        <f>IF(ISNUMBER(Datos!L10),Datos!L10," - ")</f>
        <v>132</v>
      </c>
      <c r="J10" s="452">
        <f>IF(ISNUMBER(I10/B10),I10/B10," - ")</f>
        <v>132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5694</v>
      </c>
      <c r="D14" s="1147" t="str">
        <f>IF(ISNUMBER(C14/Datos!BI14),C14/Datos!BI14," - ")</f>
        <v xml:space="preserve"> - </v>
      </c>
      <c r="E14" s="1146">
        <f>SUBTOTAL(9,E8:E13)</f>
        <v>8395</v>
      </c>
      <c r="F14" s="1147">
        <f>IF(ISNUMBER(E14/B14),E14/B14," - ")</f>
        <v>1679</v>
      </c>
      <c r="G14" s="1146">
        <f>SUBTOTAL(9,G8:G13)</f>
        <v>8254</v>
      </c>
      <c r="H14" s="1147">
        <f>IF(ISNUMBER(G14/B14),G14/B14," - ")</f>
        <v>1650.8</v>
      </c>
      <c r="I14" s="1146">
        <f>SUBTOTAL(9,I8:I13)</f>
        <v>5837</v>
      </c>
      <c r="J14" s="1147">
        <f>IF(ISNUMBER(I14/B14),I14/B14," - ")</f>
        <v>1167.4000000000001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2075</v>
      </c>
      <c r="D16" s="452">
        <f>IF(ISNUMBER(C16/Datos!BH16),C16/Datos!BH16," - ")</f>
        <v>415</v>
      </c>
      <c r="E16" s="451">
        <f>IF(ISNUMBER(IF(D_I="SI",Datos!J16,Datos!J16+Datos!AD16)),IF(D_I="SI",Datos!J16,Datos!J16+Datos!AD16)," - ")</f>
        <v>15378</v>
      </c>
      <c r="F16" s="452">
        <f>IF(ISNUMBER(E16/B16),E16/B16," - ")</f>
        <v>3075.6</v>
      </c>
      <c r="G16" s="451">
        <f>IF(ISNUMBER(IF(D_I="SI",Datos!K16,Datos!K16+Datos!AE16)),IF(D_I="SI",Datos!K16,Datos!K16+Datos!AE16)," - ")</f>
        <v>15602</v>
      </c>
      <c r="H16" s="452">
        <f>IF(ISNUMBER(G16/B16),G16/B16," - ")</f>
        <v>3120.4</v>
      </c>
      <c r="I16" s="451">
        <f>IF(ISNUMBER(IF(D_I="SI",Datos!L16,Datos!L16+Datos!AF16)),IF(D_I="SI",Datos!L16,Datos!L16+Datos!AF16)," - ")</f>
        <v>1949</v>
      </c>
      <c r="J16" s="452">
        <f>IF(ISNUMBER(I16/B16),I16/B16," - ")</f>
        <v>389.8</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397</v>
      </c>
      <c r="D18" s="452">
        <f>IF(ISNUMBER(C18/Datos!BH18),C18/Datos!BH18," - ")</f>
        <v>397</v>
      </c>
      <c r="E18" s="451">
        <f>IF(ISNUMBER(IF(D_I="SI",Datos!J18,Datos!J18+Datos!AD18)),IF(D_I="SI",Datos!J18,Datos!J18+Datos!AD18)," - ")</f>
        <v>1210</v>
      </c>
      <c r="F18" s="452">
        <f>IF(ISNUMBER(E18/B18),E18/B18," - ")</f>
        <v>1210</v>
      </c>
      <c r="G18" s="451">
        <f>IF(ISNUMBER(IF(D_I="SI",Datos!K18,Datos!K18+Datos!AE18)),IF(D_I="SI",Datos!K18,Datos!K18+Datos!AE18)," - ")</f>
        <v>1300</v>
      </c>
      <c r="H18" s="452">
        <f>IF(ISNUMBER(G18/B18),G18/B18," - ")</f>
        <v>1300</v>
      </c>
      <c r="I18" s="451">
        <f>IF(ISNUMBER(IF(D_I="SI",Datos!L18,Datos!L18+Datos!AF18)),IF(D_I="SI",Datos!L18,Datos!L18+Datos!AF18)," - ")</f>
        <v>341</v>
      </c>
      <c r="J18" s="452">
        <f>IF(ISNUMBER(I18/B18),I18/B18," - ")</f>
        <v>341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2472</v>
      </c>
      <c r="D23" s="1147" t="str">
        <f>IF(ISNUMBER(C23/Datos!BI23),C23/Datos!BI23," - ")</f>
        <v xml:space="preserve"> - </v>
      </c>
      <c r="E23" s="1146">
        <f>SUBTOTAL(9,E15:E22)</f>
        <v>16588</v>
      </c>
      <c r="F23" s="1147">
        <f>IF(ISNUMBER(E23/B23),E23/B23," - ")</f>
        <v>3317.6</v>
      </c>
      <c r="G23" s="1146">
        <f>SUBTOTAL(9,G15:G22)</f>
        <v>16902</v>
      </c>
      <c r="H23" s="1147">
        <f>IF(ISNUMBER(G23/B23),G23/B23," - ")</f>
        <v>3380.4</v>
      </c>
      <c r="I23" s="1146">
        <f>SUBTOTAL(9,I15:I22)</f>
        <v>2290</v>
      </c>
      <c r="J23" s="1147">
        <f>IF(ISNUMBER(I23/B23),I23/B23," - ")</f>
        <v>458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8166</v>
      </c>
      <c r="D31" s="1085" t="str">
        <f>IF(ISNUMBER(C31/Datos!BI31),C31/Datos!BI31," - ")</f>
        <v xml:space="preserve"> - </v>
      </c>
      <c r="E31" s="1084">
        <f>SUBTOTAL(9,E9:E30)</f>
        <v>24983</v>
      </c>
      <c r="F31" s="1085">
        <f>IF(ISNUMBER(E31/B31),E31/B31," - ")</f>
        <v>2498.3000000000002</v>
      </c>
      <c r="G31" s="1084">
        <f>SUBTOTAL(9,G9:G30)</f>
        <v>25156</v>
      </c>
      <c r="H31" s="1085">
        <f>IF(ISNUMBER(G31/B31),G31/B31," - ")</f>
        <v>2515.6</v>
      </c>
      <c r="I31" s="1084">
        <f>SUBTOTAL(9,I9:I30)</f>
        <v>8127</v>
      </c>
      <c r="J31" s="1085">
        <f>IF(ISNUMBER(I31/B31),I31/B31," - ")</f>
        <v>812.7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nhy0PVd5ND4ZJawyty4B7fzbBs0CQHVBfoKDOY47tDgjLrL4MlPMPpMBPTCEY7TUaR9wNGwM1/OTJUJ+HCjZqw==" saltValue="TyhGCgikM8ZDSvoR+Si00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TORREMOLINOS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126</v>
      </c>
      <c r="G10" s="906">
        <f>IF(ISNUMBER(Datos!I10),Datos!I10," - ")</f>
        <v>126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99</v>
      </c>
      <c r="AC10" s="905" t="str">
        <f>IF(ISNUMBER(IF(D_I="SI",DatosP!K18,DatosP!K18+DatosP!AE18)),IF(D_I="SI",DatosP!K18,DatosP!K18+DatosP!AE18)," - ")</f>
        <v xml:space="preserve"> - </v>
      </c>
      <c r="AD10" s="907"/>
      <c r="AE10" s="907"/>
      <c r="AF10" s="910">
        <f>IF(ISNUMBER(Datos!L10),Datos!L10,"-")</f>
        <v>132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32</v>
      </c>
      <c r="AM10" s="914">
        <f>IF(ISNUMBER(Datos!N10+DatosP!N18),Datos!N10+DatosP!N18," - ")</f>
        <v>25</v>
      </c>
      <c r="AN10" s="914">
        <f>IF(ISNUMBER(Datos!BW10+DatosP!BW18),Datos!BW10+DatosP!BW18," - ")</f>
        <v>0</v>
      </c>
      <c r="AO10" s="915">
        <f>IF(ISNUMBER(Datos!BX10+DatosP!BX18),Datos!BX10+DatosP!BX18," - ")</f>
        <v>0</v>
      </c>
      <c r="AP10" s="917">
        <f>IF(ISNUMBER(((Datos!L10/Datos!K10)*11)/factor_trimestre),((Datos!L10/Datos!K10)*11)/factor_trimestre," - ")</f>
        <v>14.666666666666666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126</v>
      </c>
      <c r="G14" s="1256">
        <f t="shared" si="0"/>
        <v>126</v>
      </c>
      <c r="H14" s="1256">
        <f t="shared" si="0"/>
        <v>0</v>
      </c>
      <c r="I14" s="1258">
        <f t="shared" si="0"/>
        <v>0</v>
      </c>
      <c r="J14" s="1257">
        <f t="shared" si="0"/>
        <v>0</v>
      </c>
      <c r="K14" s="1257">
        <f t="shared" si="0"/>
        <v>0</v>
      </c>
      <c r="L14" s="1259">
        <f t="shared" si="0"/>
        <v>0</v>
      </c>
      <c r="M14" s="1259">
        <f t="shared" si="0"/>
        <v>0</v>
      </c>
      <c r="N14" s="1257">
        <f t="shared" si="0"/>
        <v>22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99</v>
      </c>
      <c r="AC14" s="1257">
        <f t="shared" si="1"/>
        <v>0</v>
      </c>
      <c r="AD14" s="1257">
        <f t="shared" si="1"/>
        <v>0</v>
      </c>
      <c r="AE14" s="1257">
        <f t="shared" si="1"/>
        <v>0</v>
      </c>
      <c r="AF14" s="1257">
        <f t="shared" si="1"/>
        <v>132</v>
      </c>
      <c r="AG14" s="1257">
        <f t="shared" si="1"/>
        <v>0</v>
      </c>
      <c r="AH14" s="1257">
        <f t="shared" si="1"/>
        <v>0</v>
      </c>
      <c r="AI14" s="1257">
        <f t="shared" si="1"/>
        <v>0</v>
      </c>
      <c r="AJ14" s="1257">
        <f t="shared" si="1"/>
        <v>0</v>
      </c>
      <c r="AK14" s="1257">
        <f t="shared" si="1"/>
        <v>0</v>
      </c>
      <c r="AL14" s="1257">
        <f t="shared" si="1"/>
        <v>32</v>
      </c>
      <c r="AM14" s="1257">
        <f t="shared" si="1"/>
        <v>25</v>
      </c>
      <c r="AN14" s="1257">
        <f t="shared" si="1"/>
        <v>0</v>
      </c>
      <c r="AO14" s="1257">
        <f t="shared" si="1"/>
        <v>0</v>
      </c>
      <c r="AP14" s="1262">
        <f>IF(ISNUMBER(((Datos!L14/Datos!K14)*11)/factor_trimestre),((Datos!L14/Datos!K14)*11)/factor_trimestre," - ")</f>
        <v>8.2955358325606028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-0.7857142857142857</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1.4903561708673529</v>
      </c>
      <c r="AQ23" s="1262">
        <f>IF(ISNUMBER(((Datos!M23/Datos!L23)*11)/factor_trimestre),((Datos!M23/Datos!L23)*11)/factor_trimestre," - ")</f>
        <v>6.0235807860262005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2.0833333333333332E-2</v>
      </c>
      <c r="AW23" s="1265">
        <f>IF(ISNUMBER((Datos!Q23-Datos!R23)/(Datos!S23-Datos!Q23+Datos!R23)),(Datos!Q23-Datos!R23)/(Datos!S23-Datos!Q23+Datos!R23)," - ")</f>
        <v>4.6859903381642511E-2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126</v>
      </c>
      <c r="G31" s="1278">
        <f t="shared" si="8"/>
        <v>126</v>
      </c>
      <c r="H31" s="1278">
        <f t="shared" si="8"/>
        <v>0</v>
      </c>
      <c r="I31" s="1279">
        <f t="shared" si="8"/>
        <v>0</v>
      </c>
      <c r="J31" s="1280">
        <f t="shared" si="8"/>
        <v>0</v>
      </c>
      <c r="K31" s="1280">
        <f t="shared" si="8"/>
        <v>0</v>
      </c>
      <c r="L31" s="1280">
        <f t="shared" si="8"/>
        <v>0</v>
      </c>
      <c r="M31" s="1280">
        <f t="shared" si="8"/>
        <v>0</v>
      </c>
      <c r="N31" s="1279">
        <f t="shared" si="8"/>
        <v>22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99</v>
      </c>
      <c r="AC31" s="1284">
        <f t="shared" si="9"/>
        <v>0</v>
      </c>
      <c r="AD31" s="1284">
        <f t="shared" si="9"/>
        <v>0</v>
      </c>
      <c r="AE31" s="1284">
        <f t="shared" si="9"/>
        <v>0</v>
      </c>
      <c r="AF31" s="1285">
        <f t="shared" si="9"/>
        <v>132</v>
      </c>
      <c r="AG31" s="1285">
        <f t="shared" si="9"/>
        <v>0</v>
      </c>
      <c r="AH31" s="1285">
        <f t="shared" si="9"/>
        <v>0</v>
      </c>
      <c r="AI31" s="1285">
        <f t="shared" si="9"/>
        <v>0</v>
      </c>
      <c r="AJ31" s="1286">
        <f t="shared" si="9"/>
        <v>0</v>
      </c>
      <c r="AK31" s="1286">
        <f t="shared" si="9"/>
        <v>0</v>
      </c>
      <c r="AL31" s="1278">
        <f t="shared" si="9"/>
        <v>32</v>
      </c>
      <c r="AM31" s="1278">
        <f t="shared" si="9"/>
        <v>25</v>
      </c>
      <c r="AN31" s="1278">
        <f t="shared" si="9"/>
        <v>0</v>
      </c>
      <c r="AO31" s="1278">
        <f t="shared" si="9"/>
        <v>0</v>
      </c>
      <c r="AP31" s="1278">
        <f>IF(ISNUMBER(((Datos!L31/Datos!K31)*11)/factor_trimestre),((Datos!L31/Datos!K31)*11)/factor_trimestre," - ")</f>
        <v>3.5913868553433397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-0.7857142857142857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5.627637955291543E-2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69.013042245650936</v>
      </c>
      <c r="G33" s="1007">
        <f>IF(ISNUMBER(STDEV(G8:G30)),STDEV(G8:G30),"-")</f>
        <v>69.013042245650936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54.224533193011446</v>
      </c>
      <c r="AC33" s="1008">
        <f>IF(ISNUMBER(STDEV(AC8:AC30)),STDEV(AC8:AC30),"-")</f>
        <v>0</v>
      </c>
      <c r="AD33" s="1011"/>
      <c r="AE33" s="1011"/>
      <c r="AF33" s="1011"/>
      <c r="AG33" s="1011"/>
      <c r="AH33" s="1011"/>
      <c r="AI33" s="1011"/>
      <c r="AJ33" s="1012">
        <f>IF(ISNUMBER(STDEV(AJ8:AJ30)),STDEV(AJ8:AJ30),"-")</f>
        <v>0</v>
      </c>
      <c r="AK33" s="1014"/>
      <c r="AL33" s="1006">
        <f>IF(ISNUMBER(STDEV(AL8:AL30)),STDEV(AL8:AL30),"-")</f>
        <v>17.527121840165314</v>
      </c>
      <c r="AM33" s="1006"/>
      <c r="AN33" s="1006">
        <f>IF(ISNUMBER(STDEV(AN8:AN30)),STDEV(AN8:AN30),"-")</f>
        <v>0</v>
      </c>
      <c r="AO33" s="1012">
        <f>IF(ISNUMBER(STDEV(AO8:AO30)),STDEV(AO8:AO30),"-")</f>
        <v>0</v>
      </c>
      <c r="AP33" s="1065">
        <f>IF(ISNUMBER(STDEV(AP8:AP30)),STDEV(AP8:AP30),"-")</f>
        <v>6.5893466622892092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eyWe9CDW1mOCdO7kg9lOyLmEoklsb67ZQMt5CJdPi05Eq2FUowyni4DhePD3PEtf4bTup28OThgoeGWFHQ2cNg==" saltValue="MR9CpA5LdXNx2OZe0NePG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TORREMOLINOS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VJ3YEm6aY533LYOGqitWcDe0Ym4BgdzydaNO/SP01Fs2eMJ6rTyVsNUH6/EX84adLaO6oYH9IdD62ttWldzhlA==" saltValue="k2aO1Ny2PohzLHyPKaysA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TORREMOLINOS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1776</v>
      </c>
      <c r="E9" s="452">
        <f t="shared" ref="E9:E14" si="0">IF(ISNUMBER(D9/B9),D9/B9," - ")</f>
        <v>355.2</v>
      </c>
      <c r="F9" s="451">
        <f>IF(ISNUMBER(Datos!N9),Datos!N9," - ")</f>
        <v>3472</v>
      </c>
      <c r="G9" s="452">
        <f t="shared" ref="G9:G14" si="1">IF(ISNUMBER(F9/B9),F9/B9," - ")</f>
        <v>694.4</v>
      </c>
      <c r="H9" s="451">
        <f>IF(ISNUMBER(Datos!O9),Datos!O9," - ")</f>
        <v>3415</v>
      </c>
      <c r="I9" s="452">
        <f>IF(ISNUMBER(H9/B9),H9/B9," - ")</f>
        <v>683</v>
      </c>
    </row>
    <row r="10" spans="1:9">
      <c r="A10" s="450" t="str">
        <f>Datos!A10</f>
        <v>Jdos. Violencia contra la mujer</v>
      </c>
      <c r="B10" s="480">
        <f>Datos!AO10</f>
        <v>1</v>
      </c>
      <c r="C10" s="458">
        <f>Datos!AQ10</f>
        <v>0</v>
      </c>
      <c r="D10" s="451">
        <f>IF(ISNUMBER(Datos!M10),Datos!M10," - ")</f>
        <v>32</v>
      </c>
      <c r="E10" s="452">
        <f>IF(ISNUMBER(D10/B10),D10/B10," - ")</f>
        <v>32</v>
      </c>
      <c r="F10" s="451">
        <f>IF(ISNUMBER(Datos!N10),Datos!N10," - ")</f>
        <v>25</v>
      </c>
      <c r="G10" s="452">
        <f>IF(ISNUMBER(F10/B10),F10/B10," - ")</f>
        <v>25</v>
      </c>
      <c r="H10" s="451">
        <f>IF(ISNUMBER(Datos!O10),Datos!O10," - ")</f>
        <v>56</v>
      </c>
      <c r="I10" s="452">
        <f t="shared" ref="I10:I13" si="2">IF(ISNUMBER(H10/B10),H10/B10," - ")</f>
        <v>56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1808</v>
      </c>
      <c r="E14" s="1147">
        <f t="shared" si="0"/>
        <v>301.33333333333331</v>
      </c>
      <c r="F14" s="1146">
        <f>SUBTOTAL(9,F9:F13)</f>
        <v>3497</v>
      </c>
      <c r="G14" s="1147">
        <f t="shared" si="1"/>
        <v>582.83333333333337</v>
      </c>
      <c r="H14" s="1146">
        <f>SUBTOTAL(9,H9:H13)</f>
        <v>3471</v>
      </c>
      <c r="I14" s="1147">
        <f>IF(ISNUMBER(H14/B14),H14/B14," - ")</f>
        <v>578.5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1181</v>
      </c>
      <c r="E16" s="452">
        <f t="shared" ref="E16:E23" si="3">IF(ISNUMBER(D16/B16),D16/B16," - ")</f>
        <v>236.2</v>
      </c>
      <c r="F16" s="451">
        <f>IF(ISNUMBER(Datos!N16),Datos!N16," - ")</f>
        <v>10534</v>
      </c>
      <c r="G16" s="452">
        <f t="shared" ref="G16:G23" si="4">IF(ISNUMBER(F16/B16),F16/B16," - ")</f>
        <v>2106.8000000000002</v>
      </c>
      <c r="H16" s="451">
        <f>IF(ISNUMBER(Datos!O16),Datos!O16," - ")</f>
        <v>249</v>
      </c>
      <c r="I16" s="452">
        <f t="shared" ref="I16:I22" si="5">IF(ISNUMBER(H16/B16),H16/B16," - ")</f>
        <v>49.8</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73</v>
      </c>
      <c r="E18" s="452">
        <f>IF(ISNUMBER(D18/B18),D18/B18," - ")</f>
        <v>73</v>
      </c>
      <c r="F18" s="451">
        <f>IF(ISNUMBER(Datos!N18),Datos!N18," - ")</f>
        <v>655</v>
      </c>
      <c r="G18" s="452">
        <f>IF(ISNUMBER(F18/B18),F18/B18," - ")</f>
        <v>655</v>
      </c>
      <c r="H18" s="451">
        <f>IF(ISNUMBER(Datos!O18),Datos!O18," - ")</f>
        <v>16</v>
      </c>
      <c r="I18" s="452">
        <f t="shared" si="5"/>
        <v>16</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1254</v>
      </c>
      <c r="E23" s="1147">
        <f t="shared" si="3"/>
        <v>209</v>
      </c>
      <c r="F23" s="1146">
        <f>SUBTOTAL(9,F16:F22)</f>
        <v>11189</v>
      </c>
      <c r="G23" s="1147">
        <f t="shared" si="4"/>
        <v>1864.8333333333333</v>
      </c>
      <c r="H23" s="1146">
        <f>SUBTOTAL(9,H16:H22)</f>
        <v>265</v>
      </c>
      <c r="I23" s="1147">
        <f>IF(ISNUMBER(H23/B23),H23/B23," - ")</f>
        <v>44.166666666666664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3062</v>
      </c>
      <c r="E31" s="1085">
        <f>IF(ISNUMBER(D31/B31),D31/B31," - ")</f>
        <v>306.2</v>
      </c>
      <c r="F31" s="1084">
        <f>SUBTOTAL(9,F8:F30)</f>
        <v>14686</v>
      </c>
      <c r="G31" s="1085">
        <f>IF(ISNUMBER(F31/B31),F31/B31," - ")</f>
        <v>1468.6</v>
      </c>
      <c r="H31" s="1084">
        <f>SUBTOTAL(9,H8:H30)</f>
        <v>3736</v>
      </c>
      <c r="I31" s="1085">
        <f>IF(ISNUMBER(H31/B31),H31/B31," - ")</f>
        <v>373.6</v>
      </c>
    </row>
    <row r="34" spans="1:1">
      <c r="A34" s="439" t="str">
        <f>Criterios!A4</f>
        <v>Fecha Informe: 06 may. 2023</v>
      </c>
    </row>
    <row r="39" spans="1:1">
      <c r="A39" s="462"/>
    </row>
  </sheetData>
  <sheetProtection algorithmName="SHA-512" hashValue="OYfuLgSp7u0AL+qDWYy+BLTJntD37UvL9cKzFwWoUBY8/B953geqNIGdhKWUtEIdfI0F+fYFX2goj/27ni72SA==" saltValue="srDk5WzvGonfFgO0XqOO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TORREMOLINOS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1883</v>
      </c>
      <c r="C9" s="489">
        <f>IF(ISNUMBER(Datos!Q9),Datos!Q9," - ")</f>
        <v>1511</v>
      </c>
      <c r="D9" s="456">
        <f>IF(ISNUMBER(Datos!R9),Datos!R9," - ")</f>
        <v>6496</v>
      </c>
    </row>
    <row r="10" spans="1:4">
      <c r="A10" s="450" t="str">
        <f>Datos!A10</f>
        <v>Jdos. Violencia contra la mujer</v>
      </c>
      <c r="B10" s="488">
        <f>IF(ISNUMBER(Datos!P10),Datos!P10," - ")</f>
        <v>22</v>
      </c>
      <c r="C10" s="489">
        <f>IF(ISNUMBER(Datos!Q10),Datos!Q10," - ")</f>
        <v>38</v>
      </c>
      <c r="D10" s="456">
        <f>IF(ISNUMBER(Datos!R10),Datos!R10," - ")</f>
        <v>65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1905</v>
      </c>
      <c r="C14" s="1150">
        <f>SUBTOTAL(9,C9:C13)</f>
        <v>1549</v>
      </c>
      <c r="D14" s="1148">
        <f>SUBTOTAL(9,D9:D13)</f>
        <v>6561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289</v>
      </c>
      <c r="C16" s="489">
        <f>IF(ISNUMBER(Datos!Q16),Datos!Q16," - ")</f>
        <v>277</v>
      </c>
      <c r="D16" s="456">
        <f>IF(ISNUMBER(Datos!R16),Datos!R16," - ")</f>
        <v>192</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8</v>
      </c>
      <c r="C18" s="489">
        <f>IF(ISNUMBER(Datos!Q18),Datos!Q18," - ")</f>
        <v>16</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297</v>
      </c>
      <c r="C23" s="1150">
        <f>SUBTOTAL(9,C16:C22)</f>
        <v>293</v>
      </c>
      <c r="D23" s="1148">
        <f>SUBTOTAL(9,D16:D22)</f>
        <v>196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2202</v>
      </c>
      <c r="C31" s="1089">
        <f>SUBTOTAL(9,C8:C30)</f>
        <v>1842</v>
      </c>
      <c r="D31" s="1090">
        <f>SUBTOTAL(9,D8:D30)</f>
        <v>6757</v>
      </c>
    </row>
    <row r="32" spans="1:4" ht="7.5" customHeight="1"/>
    <row r="33" spans="1:1" ht="6" customHeight="1"/>
    <row r="34" spans="1:1">
      <c r="A34" s="439" t="str">
        <f>Criterios!A4</f>
        <v>Fecha Informe: 06 may. 2023</v>
      </c>
    </row>
    <row r="39" spans="1:1">
      <c r="A39" s="462"/>
    </row>
  </sheetData>
  <sheetProtection algorithmName="SHA-512" hashValue="HXrb3VmT+Izd0GGyu5dITWxQ4UNIONITEYOAV+hy/CV4yK/Rpbju7wDKegEOyOhmxIc3/+OczefpbiCxF0QcRQ==" saltValue="kZIvU8o0Os4oVKscNKCK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TORREMOLINOS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-2.3842917251051893E-2</v>
      </c>
      <c r="C9" s="515">
        <f>IF(ISNUMBER(
   IF(J_V="SI",(Datos!J9-Datos!T9)/Datos!T9,(Datos!J9+Datos!Z9-(Datos!T9+Datos!AH9))/(Datos!T9+Datos!AH9))
     ),IF(J_V="SI",(Datos!J9-Datos!T9)/Datos!T9,(Datos!J9+Datos!Z9-(Datos!T9+Datos!AH9))/(Datos!T9+Datos!AH9))," - ")</f>
        <v>-4.0287103496179671E-2</v>
      </c>
      <c r="D9" s="515">
        <f>IF(ISNUMBER(
   IF(J_V="SI",(Datos!K9-Datos!U9)/Datos!U9,(Datos!K9+Datos!AA9-(Datos!U9+Datos!AI9))/(Datos!U9+Datos!AI9))
     ),IF(J_V="SI",(Datos!K9-Datos!U9)/Datos!U9,(Datos!K9+Datos!AA9-(Datos!U9+Datos!AI9))/(Datos!U9+Datos!AI9))," - ")</f>
        <v>-7.5711209339227023E-2</v>
      </c>
      <c r="E9" s="515">
        <f>IF(ISNUMBER(
   IF(J_V="SI",(Datos!L9-Datos!V9)/Datos!V9,(Datos!L9+Datos!AB9-(Datos!V9+Datos!AJ9))/(Datos!V9+Datos!AJ9))
     ),IF(J_V="SI",(Datos!L9-Datos!V9)/Datos!V9,(Datos!L9+Datos!AB9-(Datos!V9+Datos!AJ9))/(Datos!V9+Datos!AJ9))," - ")</f>
        <v>2.4604885057471264E-2</v>
      </c>
      <c r="F9" s="515">
        <f>IF(ISNUMBER((Datos!M9-Datos!W9)/Datos!W9),(Datos!M9-Datos!W9)/Datos!W9," - ")</f>
        <v>4.5248868778280547E-3</v>
      </c>
      <c r="G9" s="516">
        <f>IF(ISNUMBER((Datos!N9-Datos!X9)/Datos!X9),(Datos!N9-Datos!X9)/Datos!X9," - ")</f>
        <v>-5.4980947196516056E-2</v>
      </c>
      <c r="H9" s="514">
        <f>IF(ISNUMBER(((NºAsuntos!G9/NºAsuntos!E9)-Datos!BD9)/Datos!BD9),((NºAsuntos!G9/NºAsuntos!E9)-Datos!BD9)/Datos!BD9," - ")</f>
        <v>-3.6911149128135395E-2</v>
      </c>
      <c r="I9" s="515">
        <f>IF(ISNUMBER(((NºAsuntos!I9/NºAsuntos!G9)-Datos!BE9)/Datos!BE9),((NºAsuntos!I9/NºAsuntos!G9)-Datos!BE9)/Datos!BE9," - ")</f>
        <v>0.10853328030190917</v>
      </c>
      <c r="J9" s="521">
        <f>IF(ISNUMBER((('Resol  Asuntos'!D9/NºAsuntos!G9)-Datos!BF9)/Datos!BF9),(('Resol  Asuntos'!D9/NºAsuntos!G9)-Datos!BF9)/Datos!BF9," - ")</f>
        <v>-0.47700670227462133</v>
      </c>
      <c r="K9" s="522">
        <f>IF(ISNUMBER((((NºAsuntos!C9+NºAsuntos!E9)/NºAsuntos!G9)-Datos!BG9)/Datos!BG9),(((NºAsuntos!C9+NºAsuntos!E9)/NºAsuntos!G9)-Datos!BG9)/Datos!BG9," - ")</f>
        <v>4.5401581289034564E-2</v>
      </c>
    </row>
    <row r="10" spans="1:11">
      <c r="A10" s="450" t="str">
        <f>Datos!A10</f>
        <v>Jdos. Violencia contra la mujer</v>
      </c>
      <c r="B10" s="514">
        <f>IF(ISNUMBER((Datos!I10-Datos!S10)/Datos!S10),(Datos!I10-Datos!S10)/Datos!S10," - ")</f>
        <v>0.2857142857142857</v>
      </c>
      <c r="C10" s="515">
        <f>IF(ISNUMBER((Datos!J10-Datos!T10)/Datos!T10),(Datos!J10-Datos!T10)/Datos!T10," - ")</f>
        <v>1.9417475728155338E-2</v>
      </c>
      <c r="D10" s="515">
        <f>IF(ISNUMBER((Datos!K10-Datos!U10)/Datos!U10),(Datos!K10-Datos!U10)/Datos!U10," - ")</f>
        <v>5.3191489361702128E-2</v>
      </c>
      <c r="E10" s="515">
        <f>IF(ISNUMBER((Datos!L10-Datos!V10)/Datos!V10),(Datos!L10-Datos!V10)/Datos!V10," - ")</f>
        <v>4.7619047619047616E-2</v>
      </c>
      <c r="F10" s="515">
        <f>IF(ISNUMBER((Datos!M10-Datos!W10)/Datos!W10),(Datos!M10-Datos!W10)/Datos!W10," - ")</f>
        <v>-0.2558139534883721</v>
      </c>
      <c r="G10" s="516">
        <f>IF(ISNUMBER((Datos!N10-Datos!X10)/Datos!X10),(Datos!N10-Datos!X10)/Datos!X10," - ")</f>
        <v>-0.32432432432432434</v>
      </c>
      <c r="H10" s="514">
        <f>IF(ISNUMBER(((NºAsuntos!G10/NºAsuntos!E10)-Datos!BD10)/Datos!BD10),((NºAsuntos!G10/NºAsuntos!E10)-Datos!BD10)/Datos!BD10," - ")</f>
        <v>3.313069908814583E-2</v>
      </c>
      <c r="I10" s="515">
        <f>IF(ISNUMBER(((NºAsuntos!I10/NºAsuntos!G10)-Datos!BE10)/Datos!BE10),((NºAsuntos!I10/NºAsuntos!G10)-Datos!BE10)/Datos!BE10," - ")</f>
        <v>-5.2910052910053809E-3</v>
      </c>
      <c r="J10" s="521">
        <f>IF(ISNUMBER((('Resol  Asuntos'!D10/NºAsuntos!G10)-Datos!BF10)/Datos!BF10),(('Resol  Asuntos'!D10/NºAsuntos!G10)-Datos!BF10)/Datos!BF10," - ")</f>
        <v>-0.29339910735259567</v>
      </c>
      <c r="K10" s="522">
        <f>IF(ISNUMBER((((NºAsuntos!C10+NºAsuntos!E10)/NºAsuntos!G10)-Datos!BG10)/Datos!BG10),(((NºAsuntos!C10+NºAsuntos!E10)/NºAsuntos!G10)-Datos!BG10)/Datos!BG10," - ")</f>
        <v>9.1210613598673468E-2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-1.8614270941054809E-2</v>
      </c>
      <c r="C14" s="1152">
        <f>IF(ISNUMBER(
   IF(J_V="SI",(Datos!J14-Datos!T14)/Datos!T14,(Datos!J14+Datos!Z14-(Datos!T14+Datos!AH14))/(Datos!T14+Datos!AH14))
     ),IF(J_V="SI",(Datos!J14-Datos!T14)/Datos!T14,(Datos!J14+Datos!Z14-(Datos!T14+Datos!AH14))/(Datos!T14+Datos!AH14))," - ")</f>
        <v>-3.9583571673721542E-2</v>
      </c>
      <c r="D14" s="1152">
        <f>IF(ISNUMBER(
   IF(J_V="SI",(Datos!K14-Datos!U14)/Datos!U14,(Datos!K14+Datos!AA14-(Datos!U14+Datos!AI14))/(Datos!U14+Datos!AI14))
     ),IF(J_V="SI",(Datos!K14-Datos!U14)/Datos!U14,(Datos!K14+Datos!AA14-(Datos!U14+Datos!AI14))/(Datos!U14+Datos!AI14))," - ")</f>
        <v>-7.4352360659414599E-2</v>
      </c>
      <c r="E14" s="1152">
        <f>IF(ISNUMBER(
   IF(J_V="SI",(Datos!L14-Datos!V14)/Datos!V14,(Datos!L14+Datos!AB14-(Datos!V14+Datos!AJ14))/(Datos!V14+Datos!AJ14))
     ),IF(J_V="SI",(Datos!L14-Datos!V14)/Datos!V14,(Datos!L14+Datos!AB14-(Datos!V14+Datos!AJ14))/(Datos!V14+Datos!AJ14))," - ")</f>
        <v>2.5114155251141551E-2</v>
      </c>
      <c r="F14" s="1153">
        <f>IF(ISNUMBER((Datos!M14-Datos!W14)/Datos!W14),(Datos!M14-Datos!W14)/Datos!W14," - ")</f>
        <v>-1.6565433462175593E-3</v>
      </c>
      <c r="G14" s="1154">
        <f>IF(ISNUMBER((Datos!N14-Datos!X14)/Datos!X14),(Datos!N14-Datos!X14)/Datos!X14," - ")</f>
        <v>-5.7666397197520883E-2</v>
      </c>
      <c r="H14" s="1154">
        <f>IF(ISNUMBER(((NºAsuntos!G14/NºAsuntos!E14)-Datos!BD14)/Datos!BD14),((NºAsuntos!G14/NºAsuntos!E14)-Datos!BD14)/Datos!BD14," - ")</f>
        <v>-3.6201784934358855E-2</v>
      </c>
      <c r="I14" s="1154">
        <f>IF(ISNUMBER(((NºAsuntos!I14/NºAsuntos!G14)-Datos!BE14)/Datos!BE14),((NºAsuntos!I14/NºAsuntos!G14)-Datos!BE14)/Datos!BE14," - ")</f>
        <v>0.10745613307177482</v>
      </c>
      <c r="J14" s="1154">
        <f>IF(ISNUMBER((('Resol  Asuntos'!D14/NºAsuntos!G14)-Datos!BF14)/Datos!BF14),(('Resol  Asuntos'!D14/NºAsuntos!G14)-Datos!BF14)/Datos!BF14," - ")</f>
        <v>-0.47451518928317027</v>
      </c>
      <c r="K14" s="1154">
        <f>IF(ISNUMBER((((NºAsuntos!C14+NºAsuntos!E14)/NºAsuntos!G14)-Datos!BG14)/Datos!BG14),(((NºAsuntos!C14+NºAsuntos!E14)/NºAsuntos!G14)-Datos!BG14)/Datos!BG14," - ")</f>
        <v>4.6599365490515646E-2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4.2713567839195977E-2</v>
      </c>
      <c r="C16" s="515">
        <f>IF(ISNUMBER(
   IF(D_I="SI",(Datos!J16-Datos!T16)/Datos!T16,(Datos!J16+Datos!AD16-(Datos!T16+Datos!AL16))/(Datos!T16+Datos!AL16))
     ),IF(D_I="SI",(Datos!J16-Datos!T16)/Datos!T16,(Datos!J16+Datos!AD16-(Datos!T16+Datos!AL16))/(Datos!T16+Datos!AL16))," - ")</f>
        <v>7.2160635850240532E-2</v>
      </c>
      <c r="D16" s="515">
        <f>IF(ISNUMBER(
   IF(D_I="SI",(Datos!K16-Datos!U16)/Datos!U16,(Datos!K16+Datos!AE16-(Datos!U16+Datos!AM16))/(Datos!U16+Datos!AM16))
     ),IF(D_I="SI",(Datos!K16-Datos!U16)/Datos!U16,(Datos!K16+Datos!AE16-(Datos!U16+Datos!AM16))/(Datos!U16+Datos!AM16))," - ")</f>
        <v>8.1894459468830172E-2</v>
      </c>
      <c r="E16" s="515">
        <f>IF(ISNUMBER(
   IF(D_I="SI",(Datos!L16-Datos!V16)/Datos!V16,(Datos!L16+Datos!AF16-(Datos!V16+Datos!AN16))/(Datos!V16+Datos!AN16))
     ),IF(D_I="SI",(Datos!L16-Datos!V16)/Datos!V16,(Datos!L16+Datos!AF16-(Datos!V16+Datos!AN16))/(Datos!V16+Datos!AN16))," - ")</f>
        <v>-6.0722891566265064E-2</v>
      </c>
      <c r="F16" s="515">
        <f>IF(ISNUMBER((Datos!M16-Datos!W16)/Datos!W16),(Datos!M16-Datos!W16)/Datos!W16," - ")</f>
        <v>3.7785588752196834E-2</v>
      </c>
      <c r="G16" s="516">
        <f>IF(ISNUMBER((Datos!N16-Datos!X16)/Datos!X16),(Datos!N16-Datos!X16)/Datos!X16," - ")</f>
        <v>0.11282484682019861</v>
      </c>
      <c r="H16" s="514">
        <f>IF(ISNUMBER(((NºAsuntos!G16/NºAsuntos!E16)-Datos!BD16)/Datos!BD16),((NºAsuntos!G16/NºAsuntos!E16)-Datos!BD16)/Datos!BD16," - ")</f>
        <v>9.078698931033297E-3</v>
      </c>
      <c r="I16" s="515">
        <f>IF(ISNUMBER(((NºAsuntos!I16/NºAsuntos!G16)-Datos!BE16)/Datos!BE16),((NºAsuntos!I16/NºAsuntos!G16)-Datos!BE16)/Datos!BE16," - ")</f>
        <v>-0.13182187022670869</v>
      </c>
      <c r="J16" s="521">
        <f>IF(ISNUMBER((('Resol  Asuntos'!D16/NºAsuntos!G16)-Datos!BF16)/Datos!BF16),(('Resol  Asuntos'!D16/NºAsuntos!G16)-Datos!BF16)/Datos!BF16," - ")</f>
        <v>-4.0770031060413339E-2</v>
      </c>
      <c r="K16" s="522">
        <f>IF(ISNUMBER((((NºAsuntos!C16+NºAsuntos!E16)/NºAsuntos!G16)-Datos!BG16)/Datos!BG16),(((NºAsuntos!C16+NºAsuntos!E16)/NºAsuntos!G16)-Datos!BG16)/Datos!BG16," - ")</f>
        <v>-1.2313244915287054E-2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1.2429378531073447</v>
      </c>
      <c r="C18" s="515">
        <f>IF(ISNUMBER(
   IF(D_I="SI",(Datos!J18-Datos!T18)/Datos!T18,(Datos!J18+Datos!AD18-(Datos!T18+Datos!AL18))/(Datos!T18+Datos!AL18))
     ),IF(D_I="SI",(Datos!J18-Datos!T18)/Datos!T18,(Datos!J18+Datos!AD18-(Datos!T18+Datos!AL18))/(Datos!T18+Datos!AL18))," - ")</f>
        <v>0.31378935939196523</v>
      </c>
      <c r="D18" s="515">
        <f>IF(ISNUMBER(
   IF(D_I="SI",(Datos!K18-Datos!U18)/Datos!U18,(Datos!K18+Datos!AE18-(Datos!U18+Datos!AM18))/(Datos!U18+Datos!AM18))
     ),IF(D_I="SI",(Datos!K18-Datos!U18)/Datos!U18,(Datos!K18+Datos!AE18-(Datos!U18+Datos!AM18))/(Datos!U18+Datos!AM18))," - ")</f>
        <v>0.45089285714285715</v>
      </c>
      <c r="E18" s="515">
        <f>IF(ISNUMBER(
   IF(D_I="SI",(Datos!L18-Datos!V18)/Datos!V18,(Datos!L18+Datos!AF18-(Datos!V18+Datos!AN18))/(Datos!V18+Datos!AN18))
     ),IF(D_I="SI",(Datos!L18-Datos!V18)/Datos!V18,(Datos!L18+Datos!AF18-(Datos!V18+Datos!AN18))/(Datos!V18+Datos!AN18))," - ")</f>
        <v>-0.14105793450881612</v>
      </c>
      <c r="F18" s="515">
        <f>IF(ISNUMBER((Datos!M18-Datos!W18)/Datos!W18),(Datos!M18-Datos!W18)/Datos!W18," - ")</f>
        <v>1.3888888888888888E-2</v>
      </c>
      <c r="G18" s="516">
        <f>IF(ISNUMBER((Datos!N18-Datos!X18)/Datos!X18),(Datos!N18-Datos!X18)/Datos!X18," - ")</f>
        <v>0.22429906542056074</v>
      </c>
      <c r="H18" s="514">
        <f>IF(ISNUMBER(((NºAsuntos!G18/NºAsuntos!E18)-Datos!BD18)/Datos!BD18),((NºAsuntos!G18/NºAsuntos!E18)-Datos!BD18)/Datos!BD18," - ")</f>
        <v>0.10435729043683588</v>
      </c>
      <c r="I18" s="515">
        <f>IF(ISNUMBER(((NºAsuntos!I18/NºAsuntos!G18)-Datos!BE18)/Datos!BE18),((NºAsuntos!I18/NºAsuntos!G18)-Datos!BE18)/Datos!BE18," - ")</f>
        <v>-0.40799069947684563</v>
      </c>
      <c r="J18" s="521">
        <f>IF(ISNUMBER((('Resol  Asuntos'!D18/NºAsuntos!G18)-Datos!BF18)/Datos!BF18),(('Resol  Asuntos'!D18/NºAsuntos!G18)-Datos!BF18)/Datos!BF18," - ")</f>
        <v>-0.30119658119658127</v>
      </c>
      <c r="K18" s="522">
        <f>IF(ISNUMBER((((NºAsuntos!C18+NºAsuntos!E18)/NºAsuntos!G18)-Datos!BG18)/Datos!BG18),(((NºAsuntos!C18+NºAsuntos!E18)/NºAsuntos!G18)-Datos!BG18)/Datos!BG18," - ")</f>
        <v>8.7375648031385519E-3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0.14074757729580065</v>
      </c>
      <c r="C23" s="1152">
        <f>IF(ISNUMBER(
   IF(Criterios!B14="SI",(Datos!J23-Datos!T23)/Datos!T23,(Datos!J23+Datos!AD23-(Datos!T23+Datos!AL23))/(Datos!T23+Datos!AL23))
     ),IF(Criterios!B14="SI",(Datos!J23-Datos!T23)/Datos!T23,(Datos!J23+Datos!AD23-(Datos!T23+Datos!AL23))/(Datos!T23+Datos!AL23))," - ")</f>
        <v>8.6740041928721173E-2</v>
      </c>
      <c r="D23" s="1152">
        <f>IF(ISNUMBER(
   IF(Criterios!B14="SI",(Datos!K23-Datos!U23)/Datos!U23,(Datos!K23+Datos!AE23-(Datos!U23+Datos!AM23))/(Datos!U23+Datos!AM23))
     ),IF(Criterios!B14="SI",(Datos!K23-Datos!U23)/Datos!U23,(Datos!K23+Datos!AE23-(Datos!U23+Datos!AM23))/(Datos!U23+Datos!AM23))," - ")</f>
        <v>0.10347979369328197</v>
      </c>
      <c r="E23" s="1152">
        <f>IF(ISNUMBER(
   IF(Criterios!B14="SI",(Datos!L23-Datos!V23)/Datos!V23,(Datos!L23+Datos!AF23-(Datos!V23+Datos!AN23))/(Datos!V23+Datos!AN23))
     ),IF(Criterios!B14="SI",(Datos!L23-Datos!V23)/Datos!V23,(Datos!L23+Datos!AF23-(Datos!V23+Datos!AN23))/(Datos!V23+Datos!AN23))," - ")</f>
        <v>-7.3624595469255663E-2</v>
      </c>
      <c r="F23" s="1153">
        <f>IF(ISNUMBER((Datos!M23-Datos!W23)/Datos!W23),(Datos!M23-Datos!W23)/Datos!W23," - ")</f>
        <v>3.6363636363636362E-2</v>
      </c>
      <c r="G23" s="1154">
        <f>IF(ISNUMBER((Datos!N23-Datos!X23)/Datos!X23),(Datos!N23-Datos!X23)/Datos!X23," - ")</f>
        <v>0.11878812118788121</v>
      </c>
      <c r="H23" s="1154">
        <f>IF(ISNUMBER(((NºAsuntos!G23/NºAsuntos!E23)-Datos!BD23)/Datos!BD23),((NºAsuntos!G23/NºAsuntos!E23)-Datos!BD23)/Datos!BD23," - ")</f>
        <v>1.5403639434184539E-2</v>
      </c>
      <c r="I23" s="1154">
        <f>IF(ISNUMBER(((NºAsuntos!I23/NºAsuntos!G23)-Datos!BE23)/Datos!BE23),((NºAsuntos!I23/NºAsuntos!G23)-Datos!BE23)/Datos!BE23," - ")</f>
        <v>-0.16049626841809189</v>
      </c>
      <c r="J23" s="1154">
        <f>IF(ISNUMBER((('Resol  Asuntos'!D23/NºAsuntos!G23)-Datos!BF23)/Datos!BF23),(('Resol  Asuntos'!D23/NºAsuntos!G23)-Datos!BF23)/Datos!BF23," - ")</f>
        <v>-6.0822280311098244E-2</v>
      </c>
      <c r="K23" s="1154">
        <f>IF(ISNUMBER((((NºAsuntos!C23+NºAsuntos!E23)/NºAsuntos!G23)-Datos!BG23)/Datos!BG23),(((NºAsuntos!C23+NºAsuntos!E23)/NºAsuntos!G23)-Datos!BG23)/Datos!BG23," - ")</f>
        <v>-9.0854431056227192E-3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2.4720793073158488E-2</v>
      </c>
      <c r="C31" s="1092">
        <f>IF(ISNUMBER(
   IF(J_V="SI",(Datos!J31-Datos!T31)/Datos!T31,(Datos!J31+Datos!Z31-(Datos!T31+Datos!AH31))/(Datos!T31+Datos!AH31))
     ),IF(J_V="SI",(Datos!J31-Datos!T31)/Datos!T31,(Datos!J31+Datos!Z31-(Datos!T31+Datos!AH31))/(Datos!T31+Datos!AH31))," - ")</f>
        <v>4.0741512184961463E-2</v>
      </c>
      <c r="D31" s="1092">
        <f>IF(ISNUMBER(
   IF(J_V="SI",(Datos!K31-Datos!U31)/Datos!U31,(Datos!K31+Datos!AA31-(Datos!U31+Datos!AI31))/(Datos!U31+Datos!AI31))
     ),IF(J_V="SI",(Datos!K31-Datos!U31)/Datos!U31,(Datos!K31+Datos!AA31-(Datos!U31+Datos!AI31))/(Datos!U31+Datos!AI31))," - ")</f>
        <v>3.8045720888008581E-2</v>
      </c>
      <c r="E31" s="1092">
        <f>IF(ISNUMBER(
   IF(J_V="SI",(Datos!L31-Datos!V31)/Datos!V31,(Datos!L31+Datos!AB31-(Datos!V31+Datos!AJ31))/(Datos!V31+Datos!AJ31))
     ),IF(J_V="SI",(Datos!L31-Datos!V31)/Datos!V31,(Datos!L31+Datos!AB31-(Datos!V31+Datos!AJ31))/(Datos!V31+Datos!AJ31))," - ")</f>
        <v>-4.775900073475386E-3</v>
      </c>
      <c r="F31" s="1093">
        <f>IF(ISNUMBER((Datos!M31-Datos!W31)/Datos!W31),(Datos!M31-Datos!W31)/Datos!W31," - ")</f>
        <v>1.3571665011585568E-2</v>
      </c>
      <c r="G31" s="1094">
        <f>IF(ISNUMBER((Datos!N31-Datos!X31)/Datos!X31),(Datos!N31-Datos!X31)/Datos!X31," - ")</f>
        <v>7.1032672112018663E-2</v>
      </c>
      <c r="H31" s="1095">
        <f>IF(ISNUMBER((Tasas!B31-Datos!BD31)/Datos!BD31),(Tasas!B31-Datos!BD31)/Datos!BD31," - ")</f>
        <v>-2.5902601802567735E-3</v>
      </c>
      <c r="I31" s="1096">
        <f>IF(ISNUMBER((Tasas!C31-Datos!BE31)/Datos!BE31),(Tasas!C31-Datos!BE31)/Datos!BE31," - ")</f>
        <v>-4.1252153060128881E-2</v>
      </c>
      <c r="J31" s="1097">
        <f>IF(ISNUMBER((Tasas!D31-Datos!BF31)/Datos!BF31),(Tasas!D31-Datos!BF31)/Datos!BF31," - ")</f>
        <v>-0.4013042963440504</v>
      </c>
      <c r="K31" s="1097">
        <f>IF(ISNUMBER((Tasas!E31-Datos!BG31)/Datos!BG31),(Tasas!E31-Datos!BG31)/Datos!BG31," - ")</f>
        <v>-1.2495717844688476E-3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9CdTrDJ7vDJ9SEvkXMGyfAnCErjBSsNGtAWs0pxo6YjCqbxy9y1QU0kWxE+AIDQl6b9ZKwpkl2NyVF6P3Al/g==" saltValue="Lh+YDoFChkS+zfusDazhm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TORREMOLINOS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0.98371531966224368</v>
      </c>
      <c r="C9" s="498">
        <f>IF(ISNUMBER(NºAsuntos!I9/NºAsuntos!G9),NºAsuntos!I9/NºAsuntos!G9," - ")</f>
        <v>0.69957081545064381</v>
      </c>
      <c r="D9" s="499">
        <f>IF(ISNUMBER('Resol  Asuntos'!D9/NºAsuntos!G9),'Resol  Asuntos'!D9/NºAsuntos!G9," - ")</f>
        <v>0.21778050275904354</v>
      </c>
      <c r="E9" s="500">
        <f>IF(ISNUMBER((NºAsuntos!C9+NºAsuntos!E9)/NºAsuntos!G9),(NºAsuntos!C9+NºAsuntos!E9)/NºAsuntos!G9," - ")</f>
        <v>1.699325567136726</v>
      </c>
      <c r="G9" s="523"/>
    </row>
    <row r="10" spans="1:7">
      <c r="A10" s="450" t="str">
        <f>Datos!A10</f>
        <v>Jdos. Violencia contra la mujer</v>
      </c>
      <c r="B10" s="497">
        <f>IF(ISNUMBER(NºAsuntos!G10/NºAsuntos!E10),NºAsuntos!G10/NºAsuntos!E10," - ")</f>
        <v>0.94285714285714284</v>
      </c>
      <c r="C10" s="498">
        <f>IF(ISNUMBER(NºAsuntos!I10/NºAsuntos!G10),NºAsuntos!I10/NºAsuntos!G10," - ")</f>
        <v>1.3333333333333333</v>
      </c>
      <c r="D10" s="499">
        <f>IF(ISNUMBER('Resol  Asuntos'!D10/NºAsuntos!G10),'Resol  Asuntos'!D10/NºAsuntos!G10," - ")</f>
        <v>0.32323232323232326</v>
      </c>
      <c r="E10" s="500">
        <f>IF(ISNUMBER((NºAsuntos!C10+NºAsuntos!E10)/NºAsuntos!G10),(NºAsuntos!C10+NºAsuntos!E10)/NºAsuntos!G10," - ")</f>
        <v>2.3333333333333335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0.98320428826682549</v>
      </c>
      <c r="C14" s="1156">
        <f>IF(ISNUMBER(NºAsuntos!I14/NºAsuntos!G14),NºAsuntos!I14/NºAsuntos!G14," - ")</f>
        <v>0.70717228010661493</v>
      </c>
      <c r="D14" s="1157">
        <f>IF(ISNUMBER('Resol  Asuntos'!D14/NºAsuntos!G14),'Resol  Asuntos'!D14/NºAsuntos!G14," - ")</f>
        <v>0.21904531136418706</v>
      </c>
      <c r="E14" s="1158">
        <f>IF(ISNUMBER((NºAsuntos!C14+NºAsuntos!E14)/NºAsuntos!G14),(NºAsuntos!C14+NºAsuntos!E14)/NºAsuntos!G14," - ")</f>
        <v>1.7069299733462564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1.0145662634933021</v>
      </c>
      <c r="C16" s="498">
        <f>IF(ISNUMBER(NºAsuntos!I16/NºAsuntos!G16),NºAsuntos!I16/NºAsuntos!G16," - ")</f>
        <v>0.12491988206640174</v>
      </c>
      <c r="D16" s="499">
        <f>IF(ISNUMBER('Resol  Asuntos'!D16/NºAsuntos!G16),'Resol  Asuntos'!D16/NºAsuntos!G16," - ")</f>
        <v>7.5695423663632869E-2</v>
      </c>
      <c r="E16" s="500">
        <f>IF(ISNUMBER((NºAsuntos!C16+NºAsuntos!E16)/NºAsuntos!G16),(NºAsuntos!C16+NºAsuntos!E16)/NºAsuntos!G16," - ")</f>
        <v>1.1186386360722984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1.0743801652892562</v>
      </c>
      <c r="C18" s="498">
        <f>IF(ISNUMBER(NºAsuntos!I18/NºAsuntos!G18),NºAsuntos!I18/NºAsuntos!G18," - ")</f>
        <v>0.2623076923076923</v>
      </c>
      <c r="D18" s="499">
        <f>IF(ISNUMBER('Resol  Asuntos'!D18/NºAsuntos!G18),'Resol  Asuntos'!D18/NºAsuntos!G18," - ")</f>
        <v>5.6153846153846151E-2</v>
      </c>
      <c r="E18" s="500">
        <f>IF(ISNUMBER((NºAsuntos!C18+NºAsuntos!E18)/NºAsuntos!G18),(NºAsuntos!C18+NºAsuntos!E18)/NºAsuntos!G18," - ")</f>
        <v>1.2361538461538462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1.0189293465155533</v>
      </c>
      <c r="C23" s="1156">
        <f>IF(ISNUMBER(NºAsuntos!I23/NºAsuntos!G23),NºAsuntos!I23/NºAsuntos!G23," - ")</f>
        <v>0.13548692462430481</v>
      </c>
      <c r="D23" s="1159">
        <f>IF(ISNUMBER('Resol  Asuntos'!D23/NºAsuntos!G23),'Resol  Asuntos'!D23/NºAsuntos!G23," - ")</f>
        <v>7.4192403265885692E-2</v>
      </c>
      <c r="E23" s="1158">
        <f>IF(ISNUMBER((NºAsuntos!C23+NºAsuntos!E23)/NºAsuntos!G23),(NºAsuntos!C23+NºAsuntos!E23)/NºAsuntos!G23," - ")</f>
        <v>1.127677197964738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1.0069247088019853</v>
      </c>
      <c r="C31" s="1099">
        <f>IF(ISNUMBER(NºAsuntos!I31/NºAsuntos!G31),NºAsuntos!I31/NºAsuntos!G31," - ")</f>
        <v>0.32306408013992688</v>
      </c>
      <c r="D31" s="1100">
        <f>IF(ISNUMBER('Resol  Asuntos'!D31/NºAsuntos!G31),'Resol  Asuntos'!D31/NºAsuntos!G31," - ")</f>
        <v>0.12172046430275084</v>
      </c>
      <c r="E31" s="1101">
        <f>IF(ISNUMBER((NºAsuntos!C31+NºAsuntos!E31)/NºAsuntos!G31),(NºAsuntos!C31+NºAsuntos!E31)/NºAsuntos!G31," - ")</f>
        <v>1.3177373191286372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BJ2n/XsO74CrqKYRJvRHfigXy/WLViTBcET4cXQzbbT2zkEU+Lm5JWjdaIrSUXJsFyLgBB/qojnHgeP37Jghw==" saltValue="xK1c+IFjwmlnguIz0QPWm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TORREMOLINOS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1883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1511</v>
      </c>
      <c r="Y9" s="374">
        <f>SUM(W9:X9)</f>
        <v>1511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6496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1776</v>
      </c>
      <c r="AJ9" s="243" t="str">
        <f>IF(ISNUMBER(Datos!BW9),Datos!BW9," - ")</f>
        <v xml:space="preserve"> - </v>
      </c>
      <c r="AK9" s="242" t="str">
        <f>IF(ISNUMBER(Datos!BX9),Datos!BX9," - ")</f>
        <v xml:space="preserve"> - </v>
      </c>
      <c r="AL9" s="266">
        <f>IF(ISNUMBER(NºAsuntos!G9/NºAsuntos!E9),NºAsuntos!G9/NºAsuntos!E9," - ")</f>
        <v>0.98371531966224368</v>
      </c>
      <c r="AM9" s="284">
        <f>IF(ISNUMBER(((NºAsuntos!I9/NºAsuntos!G9)*11)/factor_trimestre),((NºAsuntos!I9/NºAsuntos!G9)*11)/factor_trimestre," - ")</f>
        <v>7.6952789699570818</v>
      </c>
      <c r="AN9" s="267">
        <f>IF(ISNUMBER('Resol  Asuntos'!D9/NºAsuntos!G9),'Resol  Asuntos'!D9/NºAsuntos!G9," - ")</f>
        <v>0.21778050275904354</v>
      </c>
      <c r="AO9" s="268">
        <f>IF(ISNUMBER((NºAsuntos!C9+NºAsuntos!E9)/NºAsuntos!G9),(NºAsuntos!C9+NºAsuntos!E9)/NºAsuntos!G9," - ")</f>
        <v>1.699325567136726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126</v>
      </c>
      <c r="G10" s="373">
        <f>IF(ISNUMBER(Datos!I10),Datos!I10," - ")</f>
        <v>126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99</v>
      </c>
      <c r="X10" s="240">
        <f>IF(ISNUMBER(Datos!Q10),Datos!Q10," - ")</f>
        <v>38</v>
      </c>
      <c r="Y10" s="374">
        <f t="shared" ref="Y10:Y13" si="0">SUM(W10:X10)</f>
        <v>137</v>
      </c>
      <c r="Z10" s="375" t="str">
        <f>IF(ISNUMBER(Datos!CC10),Datos!CC10," - ")</f>
        <v xml:space="preserve"> - </v>
      </c>
      <c r="AA10" s="372">
        <f>IF(ISNUMBER(Datos!L10),Datos!L10,"-")</f>
        <v>132</v>
      </c>
      <c r="AB10" s="374">
        <f>IF(ISNUMBER(Datos!R10),Datos!R10," - ")</f>
        <v>65</v>
      </c>
      <c r="AC10" s="374">
        <f t="shared" ref="AC10:AC13" si="1">IF(ISNUMBER(AA10+AB10),AA10+AB10," - ")</f>
        <v>197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32</v>
      </c>
      <c r="AJ10" s="245" t="str">
        <f>IF(ISNUMBER(Datos!BW10),Datos!BW10," - ")</f>
        <v xml:space="preserve"> - </v>
      </c>
      <c r="AK10" s="246" t="str">
        <f>IF(ISNUMBER(Datos!BX10),Datos!BX10," - ")</f>
        <v xml:space="preserve"> - </v>
      </c>
      <c r="AL10" s="266">
        <f>IF(ISNUMBER(NºAsuntos!G10/NºAsuntos!E10),NºAsuntos!G10/NºAsuntos!E10," - ")</f>
        <v>0.94285714285714284</v>
      </c>
      <c r="AM10" s="284">
        <f>IF(ISNUMBER(((NºAsuntos!I10/NºAsuntos!G10)*11)/factor_trimestre),((NºAsuntos!I10/NºAsuntos!G10)*11)/factor_trimestre," - ")</f>
        <v>14.666666666666666</v>
      </c>
      <c r="AN10" s="267">
        <f>IF(ISNUMBER('Resol  Asuntos'!D10/NºAsuntos!G10),'Resol  Asuntos'!D10/NºAsuntos!G10," - ")</f>
        <v>0.32323232323232326</v>
      </c>
      <c r="AO10" s="268">
        <f>IF(ISNUMBER((NºAsuntos!C10+NºAsuntos!E10)/NºAsuntos!G10),(NºAsuntos!C10+NºAsuntos!E10)/NºAsuntos!G10," - ")</f>
        <v>2.3333333333333335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126</v>
      </c>
      <c r="G14" s="1163">
        <f t="shared" si="5"/>
        <v>126</v>
      </c>
      <c r="H14" s="1162">
        <f t="shared" si="5"/>
        <v>0</v>
      </c>
      <c r="I14" s="1164">
        <f t="shared" si="5"/>
        <v>0</v>
      </c>
      <c r="J14" s="1164">
        <f t="shared" si="5"/>
        <v>0</v>
      </c>
      <c r="K14" s="1164">
        <f t="shared" si="5"/>
        <v>0</v>
      </c>
      <c r="L14" s="1164">
        <f t="shared" si="5"/>
        <v>1905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99</v>
      </c>
      <c r="X14" s="1164">
        <f t="shared" si="6"/>
        <v>1549</v>
      </c>
      <c r="Y14" s="1165">
        <f t="shared" si="6"/>
        <v>1648</v>
      </c>
      <c r="Z14" s="1165">
        <f t="shared" si="6"/>
        <v>0</v>
      </c>
      <c r="AA14" s="1165">
        <f t="shared" si="6"/>
        <v>132</v>
      </c>
      <c r="AB14" s="1165">
        <f t="shared" si="6"/>
        <v>6561</v>
      </c>
      <c r="AC14" s="1165">
        <f t="shared" si="6"/>
        <v>197</v>
      </c>
      <c r="AD14" s="1165">
        <f t="shared" si="6"/>
        <v>0</v>
      </c>
      <c r="AE14" s="1169">
        <f t="shared" si="6"/>
        <v>0</v>
      </c>
      <c r="AF14" s="1162">
        <f t="shared" si="6"/>
        <v>0</v>
      </c>
      <c r="AG14" s="1170">
        <f t="shared" si="6"/>
        <v>0</v>
      </c>
      <c r="AH14" s="1167">
        <f t="shared" si="6"/>
        <v>0</v>
      </c>
      <c r="AI14" s="1162">
        <f t="shared" si="6"/>
        <v>1808</v>
      </c>
      <c r="AJ14" s="1164">
        <f t="shared" si="6"/>
        <v>0</v>
      </c>
      <c r="AK14" s="1167">
        <f>SUBTOTAL(9,AK9:AK13)</f>
        <v>0</v>
      </c>
      <c r="AL14" s="1171">
        <f>IF(ISNUMBER(NºAsuntos!G14/NºAsuntos!E14),NºAsuntos!G14/NºAsuntos!E14," - ")</f>
        <v>0.98320428826682549</v>
      </c>
      <c r="AM14" s="1171">
        <f>IF(ISNUMBER(((NºAsuntos!I14/NºAsuntos!G14)*11)/factor_trimestre),((NºAsuntos!I14/NºAsuntos!G14)*11)/factor_trimestre," - ")</f>
        <v>7.778895081172764</v>
      </c>
      <c r="AN14" s="1172">
        <f>IF(ISNUMBER('Resol  Asuntos'!D14/NºAsuntos!G14),'Resol  Asuntos'!D14/NºAsuntos!G14," - ")</f>
        <v>0.21904531136418706</v>
      </c>
      <c r="AO14" s="1173">
        <f>IF(ISNUMBER((NºAsuntos!C14+NºAsuntos!E14)/NºAsuntos!G14),(NºAsuntos!C14+NºAsuntos!E14)/NºAsuntos!G14," - ")</f>
        <v>1.7069299733462564</v>
      </c>
      <c r="AP14" s="1174" t="str">
        <f t="shared" si="2"/>
        <v xml:space="preserve"> - </v>
      </c>
      <c r="AQ14" s="1174">
        <f>IF(ISNUMBER((H14-W14+K14)/(F14)),(H14-W14+K14)/(F14)," - ")</f>
        <v>-0.7857142857142857</v>
      </c>
      <c r="AR14" s="1175">
        <f>IF(ISNUMBER((Datos!P14-Datos!Q14)/(Datos!R14-Datos!P14+Datos!Q14)),(Datos!P14-Datos!Q14)/(Datos!R14-Datos!P14+Datos!Q14)," - ")</f>
        <v>5.7373086220789689E-2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2173</v>
      </c>
      <c r="G16" s="373">
        <f>IF(ISNUMBER(IF(D_I="SI",Datos!I16,Datos!I16+Datos!AC16)),IF(D_I="SI",Datos!I16,Datos!I16+Datos!AC16)," - ")</f>
        <v>2075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289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15602</v>
      </c>
      <c r="X16" s="240">
        <f>IF(ISNUMBER(Datos!Q16),Datos!Q16," - ")</f>
        <v>277</v>
      </c>
      <c r="Y16" s="374">
        <f>SUM(W16)</f>
        <v>15602</v>
      </c>
      <c r="Z16" s="375" t="str">
        <f>IF(ISNUMBER(Datos!CC16),Datos!CC16," - ")</f>
        <v xml:space="preserve"> - </v>
      </c>
      <c r="AA16" s="372">
        <f>IF(ISNUMBER(IF(D_I="SI",Datos!L16,Datos!L16+Datos!AF16)),IF(D_I="SI",Datos!L16,Datos!L16+Datos!AF16)," - ")</f>
        <v>1949</v>
      </c>
      <c r="AB16" s="374">
        <f>IF(ISNUMBER(Datos!R16),Datos!R16," - ")</f>
        <v>192</v>
      </c>
      <c r="AC16" s="374">
        <f t="shared" ref="AC16:AC22" si="8">IF(ISNUMBER(AA16+AB16),AA16+AB16," - ")</f>
        <v>2141</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1181</v>
      </c>
      <c r="AJ16" s="245" t="str">
        <f>IF(ISNUMBER(Datos!BW16),Datos!BW16," - ")</f>
        <v xml:space="preserve"> - </v>
      </c>
      <c r="AK16" s="246" t="str">
        <f>IF(ISNUMBER(Datos!BX16),Datos!BX16," - ")</f>
        <v xml:space="preserve"> - </v>
      </c>
      <c r="AL16" s="266">
        <f>IF(ISNUMBER(NºAsuntos!G16/NºAsuntos!E16),NºAsuntos!G16/NºAsuntos!E16," - ")</f>
        <v>1.0145662634933021</v>
      </c>
      <c r="AM16" s="284">
        <f>IF(ISNUMBER(((NºAsuntos!I16/NºAsuntos!G16)*11)/factor_trimestre),((NºAsuntos!I16/NºAsuntos!G16)*11)/factor_trimestre," - ")</f>
        <v>1.3741187027304191</v>
      </c>
      <c r="AN16" s="267">
        <f>IF(ISNUMBER('Resol  Asuntos'!D16/NºAsuntos!G16),'Resol  Asuntos'!D16/NºAsuntos!G16," - ")</f>
        <v>7.5695423663632869E-2</v>
      </c>
      <c r="AO16" s="268">
        <f>IF(ISNUMBER((NºAsuntos!C16+NºAsuntos!E16)/NºAsuntos!G16),(NºAsuntos!C16+NºAsuntos!E16)/NºAsuntos!G16," - ")</f>
        <v>1.1186386360722984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397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8</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1300</v>
      </c>
      <c r="X18" s="240">
        <f>IF(ISNUMBER(Datos!Q18),Datos!Q18," - ")</f>
        <v>16</v>
      </c>
      <c r="Y18" s="374">
        <f t="shared" si="9"/>
        <v>1316</v>
      </c>
      <c r="Z18" s="375" t="str">
        <f>IF(ISNUMBER(Datos!CC18),Datos!CC18," - ")</f>
        <v xml:space="preserve"> - </v>
      </c>
      <c r="AA18" s="372">
        <f>IF(ISNUMBER(Datos!L18),Datos!L18,"-")</f>
        <v>341</v>
      </c>
      <c r="AB18" s="374">
        <f>IF(ISNUMBER(Datos!R18),Datos!R18," - ")</f>
        <v>4</v>
      </c>
      <c r="AC18" s="374">
        <f t="shared" si="8"/>
        <v>345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73</v>
      </c>
      <c r="AJ18" s="245" t="str">
        <f>IF(ISNUMBER(Datos!BW18),Datos!BW18," - ")</f>
        <v xml:space="preserve"> - </v>
      </c>
      <c r="AK18" s="246" t="str">
        <f>IF(ISNUMBER(Datos!BX18),Datos!BX18," - ")</f>
        <v xml:space="preserve"> - </v>
      </c>
      <c r="AL18" s="266">
        <f>IF(ISNUMBER(NºAsuntos!G18/NºAsuntos!E18),NºAsuntos!G18/NºAsuntos!E18," - ")</f>
        <v>1.0743801652892562</v>
      </c>
      <c r="AM18" s="284">
        <f>IF(ISNUMBER(((NºAsuntos!I18/NºAsuntos!G18)*11)/factor_trimestre),((NºAsuntos!I18/NºAsuntos!G18)*11)/factor_trimestre," - ")</f>
        <v>2.8853846153846154</v>
      </c>
      <c r="AN18" s="267">
        <f>IF(ISNUMBER('Resol  Asuntos'!D18/NºAsuntos!G18),'Resol  Asuntos'!D18/NºAsuntos!G18," - ")</f>
        <v>5.6153846153846151E-2</v>
      </c>
      <c r="AO18" s="268">
        <f>IF(ISNUMBER((NºAsuntos!C18+NºAsuntos!E18)/NºAsuntos!G18),(NºAsuntos!C18+NºAsuntos!E18)/NºAsuntos!G18," - ")</f>
        <v>1.2361538461538462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2173</v>
      </c>
      <c r="G23" s="1163">
        <f>SUBTOTAL(9,G16:G22)</f>
        <v>2472</v>
      </c>
      <c r="H23" s="1162">
        <f t="shared" ref="H23:O23" si="13">SUBTOTAL(9,H15:H22)</f>
        <v>0</v>
      </c>
      <c r="I23" s="1164">
        <f t="shared" si="13"/>
        <v>0</v>
      </c>
      <c r="J23" s="1164">
        <f t="shared" si="13"/>
        <v>0</v>
      </c>
      <c r="K23" s="1164">
        <f t="shared" si="13"/>
        <v>0</v>
      </c>
      <c r="L23" s="1164">
        <f t="shared" si="13"/>
        <v>297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16902</v>
      </c>
      <c r="X23" s="1164">
        <f t="shared" si="14"/>
        <v>293</v>
      </c>
      <c r="Y23" s="1165">
        <f t="shared" si="14"/>
        <v>16918</v>
      </c>
      <c r="Z23" s="1165">
        <f t="shared" si="14"/>
        <v>0</v>
      </c>
      <c r="AA23" s="1165">
        <f t="shared" si="14"/>
        <v>2290</v>
      </c>
      <c r="AB23" s="1165">
        <f t="shared" si="14"/>
        <v>196</v>
      </c>
      <c r="AC23" s="1165">
        <f t="shared" si="14"/>
        <v>2486</v>
      </c>
      <c r="AD23" s="1165">
        <f t="shared" si="14"/>
        <v>0</v>
      </c>
      <c r="AE23" s="1169">
        <f t="shared" si="14"/>
        <v>0</v>
      </c>
      <c r="AF23" s="1162">
        <f t="shared" si="14"/>
        <v>0</v>
      </c>
      <c r="AG23" s="1170">
        <f t="shared" si="14"/>
        <v>0</v>
      </c>
      <c r="AH23" s="1167">
        <f t="shared" si="14"/>
        <v>0</v>
      </c>
      <c r="AI23" s="1162">
        <f t="shared" si="14"/>
        <v>1254</v>
      </c>
      <c r="AJ23" s="1164">
        <f t="shared" si="14"/>
        <v>0</v>
      </c>
      <c r="AK23" s="1167">
        <f t="shared" si="14"/>
        <v>0</v>
      </c>
      <c r="AL23" s="1171">
        <f>IF(ISNUMBER(NºAsuntos!G23/NºAsuntos!E23),NºAsuntos!G23/NºAsuntos!E23," - ")</f>
        <v>1.0189293465155533</v>
      </c>
      <c r="AM23" s="1171">
        <f>IF(ISNUMBER(((NºAsuntos!I23/NºAsuntos!G23)*11)/factor_trimestre),((NºAsuntos!I23/NºAsuntos!G23)*11)/factor_trimestre," - ")</f>
        <v>1.4903561708673529</v>
      </c>
      <c r="AN23" s="1172">
        <f>IF(ISNUMBER('Resol  Asuntos'!D23/NºAsuntos!G23),'Resol  Asuntos'!D23/NºAsuntos!G23," - ")</f>
        <v>7.4192403265885692E-2</v>
      </c>
      <c r="AO23" s="1173">
        <f>IF(ISNUMBER((NºAsuntos!C23+NºAsuntos!E23)/NºAsuntos!G23),(NºAsuntos!C23+NºAsuntos!E23)/NºAsuntos!G23," - ")</f>
        <v>1.127677197964738</v>
      </c>
      <c r="AP23" s="1174" t="str">
        <f t="shared" si="2"/>
        <v xml:space="preserve"> - </v>
      </c>
      <c r="AQ23" s="1174">
        <f>IF(ISNUMBER((H23-W23+K23)/(F23)),(H23-W23+K23)/(F23)," - ")</f>
        <v>-7.7781868384721582</v>
      </c>
      <c r="AR23" s="1175">
        <f>IF(ISNUMBER((Datos!P23-Datos!Q23)/(Datos!R23-Datos!P23+Datos!Q23)),(Datos!P23-Datos!Q23)/(Datos!R23-Datos!P23+Datos!Q23)," - ")</f>
        <v>2.0833333333333332E-2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2299</v>
      </c>
      <c r="G31" s="1118">
        <f t="shared" si="20"/>
        <v>2598</v>
      </c>
      <c r="H31" s="1117">
        <f t="shared" si="20"/>
        <v>0</v>
      </c>
      <c r="I31" s="1119">
        <f t="shared" si="20"/>
        <v>0</v>
      </c>
      <c r="J31" s="1119">
        <f t="shared" si="20"/>
        <v>0</v>
      </c>
      <c r="K31" s="1180">
        <f t="shared" si="20"/>
        <v>0</v>
      </c>
      <c r="L31" s="1119">
        <f t="shared" si="20"/>
        <v>2202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17001</v>
      </c>
      <c r="X31" s="1118">
        <f t="shared" si="21"/>
        <v>1842</v>
      </c>
      <c r="Y31" s="1125">
        <f t="shared" si="21"/>
        <v>18566</v>
      </c>
      <c r="Z31" s="1125">
        <f t="shared" si="21"/>
        <v>0</v>
      </c>
      <c r="AA31" s="1125">
        <f t="shared" si="21"/>
        <v>2422</v>
      </c>
      <c r="AB31" s="1125">
        <f t="shared" si="21"/>
        <v>6757</v>
      </c>
      <c r="AC31" s="1125">
        <f t="shared" si="21"/>
        <v>2683</v>
      </c>
      <c r="AD31" s="1125">
        <f t="shared" si="21"/>
        <v>0</v>
      </c>
      <c r="AE31" s="1127">
        <f t="shared" si="21"/>
        <v>0</v>
      </c>
      <c r="AF31" s="1128">
        <f t="shared" si="21"/>
        <v>0</v>
      </c>
      <c r="AG31" s="1129">
        <f t="shared" si="21"/>
        <v>0</v>
      </c>
      <c r="AH31" s="1127">
        <f t="shared" si="21"/>
        <v>0</v>
      </c>
      <c r="AI31" s="1117">
        <f t="shared" si="21"/>
        <v>3062</v>
      </c>
      <c r="AJ31" s="1117">
        <f t="shared" si="21"/>
        <v>0</v>
      </c>
      <c r="AK31" s="1127">
        <f t="shared" si="21"/>
        <v>0</v>
      </c>
      <c r="AL31" s="1183">
        <f>IF(ISNUMBER(NºAsuntos!G31/NºAsuntos!E31),NºAsuntos!G31/NºAsuntos!E31," - ")</f>
        <v>1.0069247088019853</v>
      </c>
      <c r="AM31" s="1184">
        <f>IF(ISNUMBER(((NºAsuntos!I31/NºAsuntos!G31)*11)/factor_trimestre),((NºAsuntos!I31/NºAsuntos!G31)*11)/factor_trimestre," - ")</f>
        <v>3.5537048815391956</v>
      </c>
      <c r="AN31" s="1184">
        <f>IF(ISNUMBER('Resol  Asuntos'!D31/NºAsuntos!G31),'Resol  Asuntos'!D31/NºAsuntos!G31," - ")</f>
        <v>0.12172046430275084</v>
      </c>
      <c r="AO31" s="1185">
        <f>IF(ISNUMBER((NºAsuntos!C31+NºAsuntos!E31)/NºAsuntos!G31),(NºAsuntos!C31+NºAsuntos!E31)/NºAsuntos!G31," - ")</f>
        <v>1.3177373191286372</v>
      </c>
      <c r="AP31" s="1186" t="str">
        <f t="shared" si="2"/>
        <v xml:space="preserve"> - </v>
      </c>
      <c r="AQ31" s="1187">
        <f>IF(OR(ISNUMBER(FIND("01",Criterios!A8,1)),ISNUMBER(FIND("02",Criterios!A8,1)),ISNUMBER(FIND("03",Criterios!A8,1)),ISNUMBER(FIND("04",Criterios!A8,1))),(I31-W31+K31)/(F31-K31),(H31-W31+K31)/(F31-K31))</f>
        <v>-7.3949543279686818</v>
      </c>
      <c r="AR31" s="1188">
        <f>IF(ISNUMBER((Datos!P31-Datos!Q31)/(Datos!R31-Datos!P31+Datos!Q31)),(Datos!P31-Datos!Q31)/(Datos!R31-Datos!P31+Datos!Q31)," - ")</f>
        <v>5.627637955291543E-2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742.28571428571433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1091.0553912000373</v>
      </c>
      <c r="G33" s="277">
        <f>IF(ISNUMBER(STDEV(G8:G30)),STDEV(G8:G30),"-")</f>
        <v>1060.5700847949206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7806.4858047041644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820.16966885778311</v>
      </c>
      <c r="AJ33" s="276">
        <f t="shared" si="25"/>
        <v>0</v>
      </c>
      <c r="AK33" s="278">
        <f t="shared" si="25"/>
        <v>0</v>
      </c>
      <c r="AL33" s="273">
        <f t="shared" si="25"/>
        <v>4.4415228850854221E-2</v>
      </c>
      <c r="AM33" s="274">
        <f t="shared" si="25"/>
        <v>5.149447596954901</v>
      </c>
      <c r="AN33" s="274">
        <f t="shared" si="25"/>
        <v>0.10836766517457989</v>
      </c>
      <c r="AO33" s="275">
        <f t="shared" si="25"/>
        <v>0.47380425455488251</v>
      </c>
      <c r="AP33" s="317" t="str">
        <f t="shared" si="25"/>
        <v>-</v>
      </c>
      <c r="AQ33" s="318">
        <f t="shared" si="25"/>
        <v>4.9444247593159014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oq+4CrP5mVFh8Ff4G1R8n6nzrsqg47XfWgS2Rd6iw2JnvP4tZpoc+60xqCeDX9YAbho6DoE0grmoeHc/E1BhhQ==" saltValue="7wPPqn+1lJymw0igAcoHh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TORREMOLINOS</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4.5248868778280547E-3</v>
      </c>
      <c r="I9" s="395">
        <f>IF(ISNUMBER((Tasas!C9-Datos!BE9)/Datos!BE9),(Tasas!C9-Datos!BE9)/Datos!BE9," - ")</f>
        <v>0.10853328030190917</v>
      </c>
      <c r="J9" s="394">
        <f>IF(ISNUMBER((Tasas!D9-Datos!BF9)/Datos!BF9),(Tasas!D9-Datos!BF9)/Datos!BF9," - ")</f>
        <v>-0.47700670227462133</v>
      </c>
      <c r="K9" s="396">
        <f>IF(ISNUMBER((Tasas!E9-Datos!BG9)/Datos!BG9),(Tasas!E9-Datos!BG9)/Datos!BG9," - ")</f>
        <v>4.5401581289034564E-2</v>
      </c>
      <c r="M9" t="e">
        <f>IF(Monitorios="SI",Datos!CE9,0)</f>
        <v>#REF!</v>
      </c>
      <c r="N9" t="e">
        <f>IF(Monitorios="SI",Datos!CF9,0)</f>
        <v>#REF!</v>
      </c>
      <c r="O9" t="e">
        <f>IF(Monitorios="SI",Datos!CG9,0)</f>
        <v>#REF!</v>
      </c>
      <c r="P9" t="e">
        <f>IF(Monitorios="SI",Datos!CH9,0)</f>
        <v>#REF!</v>
      </c>
      <c r="Q9">
        <f>IF(J_V="SI",0,Datos!AG9)</f>
        <v>135</v>
      </c>
      <c r="R9">
        <f>IF(J_V="SI",0,Datos!AH9)</f>
        <v>723</v>
      </c>
      <c r="S9">
        <f>IF(J_V="SI",0,Datos!AI9)</f>
        <v>689</v>
      </c>
      <c r="T9">
        <f>IF(J_V="SI",0,Datos!AJ9)</f>
        <v>169</v>
      </c>
    </row>
    <row r="10" spans="2:20" ht="14.25">
      <c r="B10" s="300" t="s">
        <v>321</v>
      </c>
      <c r="C10" s="7" t="str">
        <f>Datos!A10</f>
        <v>Jdos. Violencia contra la mujer</v>
      </c>
      <c r="D10" s="397">
        <f>IF(ISNUMBER((Datos!I10-Datos!S10)/Datos!S10),(Datos!I10-Datos!S10)/Datos!S10," - ")</f>
        <v>0.2857142857142857</v>
      </c>
      <c r="E10" s="393">
        <f>IF(ISNUMBER((Datos!J10-Datos!T10)/Datos!T10),(Datos!J10-Datos!T10)/Datos!T10," - ")</f>
        <v>1.9417475728155338E-2</v>
      </c>
      <c r="F10" s="393">
        <f>IF(ISNUMBER((Datos!K10-Datos!U10)/Datos!U10),(Datos!K10-Datos!U10)/Datos!U10," - ")</f>
        <v>5.3191489361702128E-2</v>
      </c>
      <c r="G10" s="394">
        <f>IF(ISNUMBER((Datos!L10-Datos!V10)/Datos!V10),(Datos!L10-Datos!V10)/Datos!V10," - ")</f>
        <v>4.7619047619047616E-2</v>
      </c>
      <c r="H10" s="244">
        <f>IF(ISNUMBER((Datos!M10-Datos!W10)/Datos!W10),(Datos!M10-Datos!W10)/Datos!W10," - ")</f>
        <v>-0.2558139534883721</v>
      </c>
      <c r="I10" s="395">
        <f>IF(ISNUMBER((Tasas!C10-Datos!BE10)/Datos!BE10),(Tasas!C10-Datos!BE10)/Datos!BE10," - ")</f>
        <v>-5.2910052910053809E-3</v>
      </c>
      <c r="J10" s="394">
        <f>IF(ISNUMBER((Tasas!D10-Datos!BF10)/Datos!BF10),(Tasas!D10-Datos!BF10)/Datos!BF10," - ")</f>
        <v>-0.29339910735259567</v>
      </c>
      <c r="K10" s="396">
        <f>IF(ISNUMBER((Tasas!E10-Datos!BG10)/Datos!BG10),(Tasas!E10-Datos!BG10)/Datos!BG10," - ")</f>
        <v>9.1210613598673468E-2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-1.6565433462175593E-3</v>
      </c>
      <c r="I14" s="402">
        <f>IF(ISNUMBER((Tasas!C14-Datos!BE14)/Datos!BE14),(Tasas!C14-Datos!BE14)/Datos!BE14," - ")</f>
        <v>0.10745613307177482</v>
      </c>
      <c r="J14" s="400">
        <f>IF(ISNUMBER((Tasas!D14-Datos!BF14)/Datos!BF14),(Tasas!D14-Datos!BF14)/Datos!BF14," - ")</f>
        <v>-0.47451518928317027</v>
      </c>
      <c r="K14" s="403">
        <f>IF(ISNUMBER((Tasas!E14-Datos!BG14)/Datos!BG14),(Tasas!E14-Datos!BG14)/Datos!BG14," - ")</f>
        <v>4.6599365490515646E-2</v>
      </c>
      <c r="M14" t="e">
        <f>IF(Monitorios="SI",Datos!CE14,0)</f>
        <v>#REF!</v>
      </c>
      <c r="N14" t="e">
        <f>IF(Monitorios="SI",Datos!CF14,0)</f>
        <v>#REF!</v>
      </c>
      <c r="O14" t="e">
        <f>IF(Monitorios="SI",Datos!CG14,0)</f>
        <v>#REF!</v>
      </c>
      <c r="P14" t="e">
        <f>IF(Monitorios="SI",Datos!CH14,0)</f>
        <v>#REF!</v>
      </c>
      <c r="Q14">
        <f>IF(J_V="SI",0,Datos!AG14)</f>
        <v>135</v>
      </c>
      <c r="R14">
        <f>IF(J_V="SI",0,Datos!AH14)</f>
        <v>723</v>
      </c>
      <c r="S14">
        <f>IF(J_V="SI",0,Datos!AI14)</f>
        <v>689</v>
      </c>
      <c r="T14">
        <f>IF(J_V="SI",0,Datos!AJ14)</f>
        <v>169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4.2713567839195977E-2</v>
      </c>
      <c r="E16" s="393">
        <f>IF(ISNUMBER(
   IF(D_I="SI",(Datos!J16-Datos!T16)/Datos!T16,(Datos!J16+Datos!AD16-(Datos!T16+Datos!AL16))/(Datos!T16+Datos!AL16))
     ),IF(D_I="SI",(Datos!J16-Datos!T16)/Datos!T16,(Datos!J16+Datos!AD16-(Datos!T16+Datos!AL16))/(Datos!T16+Datos!AL16))," - ")</f>
        <v>7.2160635850240532E-2</v>
      </c>
      <c r="F16" s="393">
        <f>IF(ISNUMBER(
   IF(D_I="SI",(Datos!K16-Datos!U16)/Datos!U16,(Datos!K16+Datos!AE16-(Datos!U16+Datos!AM16))/(Datos!U16+Datos!AM16))
     ),IF(D_I="SI",(Datos!K16-Datos!U16)/Datos!U16,(Datos!K16+Datos!AE16-(Datos!U16+Datos!AM16))/(Datos!U16+Datos!AM16))," - ")</f>
        <v>8.1894459468830172E-2</v>
      </c>
      <c r="G16" s="394">
        <f>IF(ISNUMBER(
   IF(D_I="SI",(Datos!L16-Datos!V16)/Datos!V16,(Datos!L16+Datos!AF16-(Datos!V16+Datos!AN16))/(Datos!V16+Datos!AN16))
     ),IF(D_I="SI",(Datos!L16-Datos!V16)/Datos!V16,(Datos!L16+Datos!AF16-(Datos!V16+Datos!AN16))/(Datos!V16+Datos!AN16))," - ")</f>
        <v>-6.0722891566265064E-2</v>
      </c>
      <c r="H16" s="244">
        <f>IF(ISNUMBER((Datos!M16-Datos!W16)/Datos!W16),(Datos!M16-Datos!W16)/Datos!W16," - ")</f>
        <v>3.7785588752196834E-2</v>
      </c>
      <c r="I16" s="395">
        <f>IF(ISNUMBER((Tasas!C16-Datos!BE16)/Datos!BE16),(Tasas!C16-Datos!BE16)/Datos!BE16," - ")</f>
        <v>-0.13182187022670869</v>
      </c>
      <c r="J16" s="394">
        <f>IF(ISNUMBER((Tasas!D16-Datos!BF16)/Datos!BF16),(Tasas!D16-Datos!BF16)/Datos!BF16," - ")</f>
        <v>-4.0770031060413339E-2</v>
      </c>
      <c r="K16" s="396">
        <f>IF(ISNUMBER((Tasas!E16-Datos!BG16)/Datos!BG16),(Tasas!E16-Datos!BG16)/Datos!BG16," - ")</f>
        <v>-1.2313244915287054E-2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1.2429378531073447</v>
      </c>
      <c r="E18" s="393">
        <f>IF(ISNUMBER(
   IF(D_I="SI",(Datos!J18-Datos!T18)/Datos!T18,(Datos!J18+Datos!AD18-(Datos!T18+Datos!AL18))/(Datos!T18+Datos!AL18))
     ),IF(D_I="SI",(Datos!J18-Datos!T18)/Datos!T18,(Datos!J18+Datos!AD18-(Datos!T18+Datos!AL18))/(Datos!T18+Datos!AL18))," - ")</f>
        <v>0.31378935939196523</v>
      </c>
      <c r="F18" s="393">
        <f>IF(ISNUMBER(
   IF(D_I="SI",(Datos!K18-Datos!U18)/Datos!U18,(Datos!K18+Datos!AE18-(Datos!U18+Datos!AM18))/(Datos!U18+Datos!AM18))
     ),IF(D_I="SI",(Datos!K18-Datos!U18)/Datos!U18,(Datos!K18+Datos!AE18-(Datos!U18+Datos!AM18))/(Datos!U18+Datos!AM18))," - ")</f>
        <v>0.45089285714285715</v>
      </c>
      <c r="G18" s="394">
        <f>IF(ISNUMBER(
   IF(D_I="SI",(Datos!L18-Datos!V18)/Datos!V18,(Datos!L18+Datos!AF18-(Datos!V18+Datos!AN18))/(Datos!V18+Datos!AN18))
     ),IF(D_I="SI",(Datos!L18-Datos!V18)/Datos!V18,(Datos!L18+Datos!AF18-(Datos!V18+Datos!AN18))/(Datos!V18+Datos!AN18))," - ")</f>
        <v>-0.14105793450881612</v>
      </c>
      <c r="H18" s="244">
        <f>IF(ISNUMBER((Datos!M18-Datos!W18)/Datos!W18),(Datos!M18-Datos!W18)/Datos!W18," - ")</f>
        <v>1.3888888888888888E-2</v>
      </c>
      <c r="I18" s="395">
        <f>IF(ISNUMBER((Tasas!C18-Datos!BE18)/Datos!BE18),(Tasas!C18-Datos!BE18)/Datos!BE18," - ")</f>
        <v>-0.40799069947684563</v>
      </c>
      <c r="J18" s="394">
        <f>IF(ISNUMBER((Tasas!D18-Datos!BF18)/Datos!BF18),(Tasas!D18-Datos!BF18)/Datos!BF18," - ")</f>
        <v>-0.30119658119658127</v>
      </c>
      <c r="K18" s="396">
        <f>IF(ISNUMBER((Tasas!E18-Datos!BG18)/Datos!BG18),(Tasas!E18-Datos!BG18)/Datos!BG18," - ")</f>
        <v>8.7375648031385519E-3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0.14074757729580065</v>
      </c>
      <c r="E23" s="399">
        <f>IF(ISNUMBER(
   IF(D_I="SI",(Datos!J23-Datos!T23)/Datos!T23,(Datos!J23+Datos!AD23-(Datos!T23+Datos!AL23))/(Datos!T23+Datos!AL23))
     ),IF(D_I="SI",(Datos!J23-Datos!T23)/Datos!T23,(Datos!J23+Datos!AD23-(Datos!T23+Datos!AL23))/(Datos!T23+Datos!AL23))," - ")</f>
        <v>8.6740041928721173E-2</v>
      </c>
      <c r="F23" s="399">
        <f>IF(ISNUMBER(
   IF(D_I="SI",(Datos!K23-Datos!U23)/Datos!U23,(Datos!K23+Datos!AE23-(Datos!U23+Datos!AM23))/(Datos!U23+Datos!AM23))
     ),IF(D_I="SI",(Datos!K23-Datos!U23)/Datos!U23,(Datos!K23+Datos!AE23-(Datos!U23+Datos!AM23))/(Datos!U23+Datos!AM23))," - ")</f>
        <v>0.10347979369328197</v>
      </c>
      <c r="G23" s="400">
        <f>IF(ISNUMBER(
   IF(D_I="SI",(Datos!L23-Datos!V23)/Datos!V23,(Datos!L23+Datos!AF23-(Datos!V23+Datos!AN23))/(Datos!V23+Datos!AN23))
     ),IF(D_I="SI",(Datos!L23-Datos!V23)/Datos!V23,(Datos!L23+Datos!AF23-(Datos!V23+Datos!AN23))/(Datos!V23+Datos!AN23))," - ")</f>
        <v>-7.3624595469255663E-2</v>
      </c>
      <c r="H23" s="401">
        <f>IF(ISNUMBER((Datos!M23-Datos!W23)/Datos!W23),(Datos!M23-Datos!W23)/Datos!W23," - ")</f>
        <v>3.6363636363636362E-2</v>
      </c>
      <c r="I23" s="402">
        <f>IF(ISNUMBER((Tasas!C23-Datos!BE23)/Datos!BE23),(Tasas!C23-Datos!BE23)/Datos!BE23," - ")</f>
        <v>-0.16049626841809189</v>
      </c>
      <c r="J23" s="400">
        <f>IF(ISNUMBER((Tasas!D23-Datos!BF23)/Datos!BF23),(Tasas!D23-Datos!BF23)/Datos!BF23," - ")</f>
        <v>-6.0822280311098244E-2</v>
      </c>
      <c r="K23" s="403">
        <f>IF(ISNUMBER((Tasas!E23-Datos!BG23)/Datos!BG23),(Tasas!E23-Datos!BG23)/Datos!BG23," - ")</f>
        <v>-9.0854431056227192E-3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2.4720793073158488E-2</v>
      </c>
      <c r="E31" s="409">
        <f>IF(ISNUMBER(
   IF(J_V="SI",(Datos!J31-Datos!T31)/Datos!T31,(Datos!J31+Datos!Z31-(Datos!T31+Datos!AH31))/(Datos!T31+Datos!AH31))
     ),IF(J_V="SI",(Datos!J31-Datos!T31)/Datos!T31,(Datos!J31+Datos!Z31-(Datos!T31+Datos!AH31))/(Datos!T31+Datos!AH31))," - ")</f>
        <v>4.0741512184961463E-2</v>
      </c>
      <c r="F31" s="409">
        <f>IF(ISNUMBER(
   IF(J_V="SI",(Datos!K31-Datos!U31)/Datos!U31,(Datos!K31+Datos!AA31-(Datos!U31+Datos!AI31))/(Datos!U31+Datos!AI31))
     ),IF(J_V="SI",(Datos!K31-Datos!U31)/Datos!U31,(Datos!K31+Datos!AA31-(Datos!U31+Datos!AI31))/(Datos!U31+Datos!AI31))," - ")</f>
        <v>3.8045720888008581E-2</v>
      </c>
      <c r="G31" s="410">
        <f>IF(ISNUMBER(
   IF(J_V="SI",(Datos!L31-Datos!V31)/Datos!V31,(Datos!L31+Datos!AB31-(Datos!V31+Datos!AJ31))/(Datos!V31+Datos!AJ31))
     ),IF(J_V="SI",(Datos!L31-Datos!V31)/Datos!V31,(Datos!L31+Datos!AB31-(Datos!V31+Datos!AJ31))/(Datos!V31+Datos!AJ31))," - ")</f>
        <v>-4.775900073475386E-3</v>
      </c>
      <c r="H31" s="411">
        <f>IF(ISNUMBER((Datos!M31-Datos!W31)/Datos!W31),(Datos!M31-Datos!W31)/Datos!W31," - ")</f>
        <v>1.3571665011585568E-2</v>
      </c>
      <c r="I31" s="408">
        <f>IF(ISNUMBER((Tasas!C31-Datos!BE31)/Datos!BE31),(Tasas!C31-Datos!BE31)/Datos!BE31," - ")</f>
        <v>-4.1252153060128881E-2</v>
      </c>
      <c r="J31" s="409">
        <f>IF(ISNUMBER((Tasas!D31-Datos!BF31)/Datos!BF31),(Tasas!D31-Datos!BF31)/Datos!BF31," - ")</f>
        <v>-0.4013042963440504</v>
      </c>
      <c r="K31" s="410">
        <f>IF(ISNUMBER((Tasas!E31-Datos!BG31)/Datos!BG31),(Tasas!E31-Datos!BG31)/Datos!BG31," - ")</f>
        <v>-1.2495717844688476E-3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0.55236718309029553</v>
      </c>
      <c r="E33" s="303">
        <f t="shared" si="1"/>
        <v>0.13042154935496747</v>
      </c>
      <c r="F33" s="303">
        <f t="shared" si="1"/>
        <v>0.18682450159965566</v>
      </c>
      <c r="G33" s="304">
        <f t="shared" si="1"/>
        <v>7.8104859357384829E-2</v>
      </c>
      <c r="H33" s="310">
        <f t="shared" si="1"/>
        <v>0.11302614727083482</v>
      </c>
      <c r="I33" s="302">
        <f t="shared" si="1"/>
        <v>0.19646561760783279</v>
      </c>
      <c r="J33" s="303">
        <f t="shared" si="1"/>
        <v>0.1909830916062461</v>
      </c>
      <c r="K33" s="304">
        <f t="shared" si="1"/>
        <v>4.0036928437543293E-2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Q0Mk5/AGNIQlQRu/UN1wbZbESPfI6TNoDQwnpvn3Tp6hDTBY4VMI2vzklCcoSOmSpRvdwDSxF4M4CK7gE6x9Q==" saltValue="gAVnYx6BVcmJjVvC4uqZS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2023-05-06T07:38:20Z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